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lendário" sheetId="1" state="visible" r:id="rId1"/>
    <sheet xmlns:r="http://schemas.openxmlformats.org/officeDocument/2006/relationships" name="Feriados" sheetId="2" state="visible" r:id="rId2"/>
    <sheet xmlns:r="http://schemas.openxmlformats.org/officeDocument/2006/relationships" name="Dias úteis" sheetId="3" state="visible" r:id="rId3"/>
    <sheet xmlns:r="http://schemas.openxmlformats.org/officeDocument/2006/relationships" name="Como usar" sheetId="4" state="visible" r:id="rId4"/>
  </sheets>
  <definedNames>
    <definedName name="FeriadosNacionais">Feriados!$A$5:$A$14</definedName>
    <definedName name="PontosFacultativos">Feriados!$A$15:$A$17</definedName>
    <definedName name="FeriadosTodos">Feriados!$A$5:$A$17</definedName>
    <definedName name="_xlnm.Print_Area" localSheetId="0">'Calendário'!$A$1:$Z$39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mmmm"/>
    <numFmt numFmtId="165" formatCode="d"/>
    <numFmt numFmtId="166" formatCode="dd/mm/yyyy"/>
  </numFmts>
  <fonts count="12">
    <font>
      <name val="Calibri"/>
      <family val="2"/>
      <color theme="1"/>
      <sz val="11"/>
      <scheme val="minor"/>
    </font>
    <font>
      <b val="1"/>
      <color rgb="000B2A1F"/>
      <sz val="18"/>
    </font>
    <font>
      <b val="1"/>
      <color rgb="000B2A1F"/>
    </font>
    <font>
      <b val="1"/>
      <color rgb="00FFFFFF"/>
      <sz val="14"/>
    </font>
    <font>
      <i val="1"/>
      <color rgb="00555555"/>
      <sz val="9"/>
    </font>
    <font>
      <b val="1"/>
      <color rgb="00FFFFFF"/>
      <sz val="12"/>
    </font>
    <font>
      <b val="1"/>
      <color rgb="00047857"/>
    </font>
    <font>
      <color rgb="007A8A83"/>
    </font>
    <font>
      <color rgb="000B2A1F"/>
    </font>
    <font>
      <b val="1"/>
      <color rgb="000B2A1F"/>
      <sz val="16"/>
    </font>
    <font>
      <b val="1"/>
    </font>
    <font>
      <b val="1"/>
      <color rgb="00FFFFFF"/>
    </font>
  </fonts>
  <fills count="6">
    <fill>
      <patternFill/>
    </fill>
    <fill>
      <patternFill patternType="gray125"/>
    </fill>
    <fill>
      <patternFill patternType="solid">
        <fgColor rgb="00047857"/>
      </patternFill>
    </fill>
    <fill>
      <patternFill patternType="solid">
        <fgColor rgb="000B2A1F"/>
      </patternFill>
    </fill>
    <fill>
      <patternFill patternType="solid">
        <fgColor rgb="00F6F8F7"/>
      </patternFill>
    </fill>
    <fill>
      <patternFill patternType="solid">
        <fgColor rgb="00FCF3CF"/>
      </patternFill>
    </fill>
  </fills>
  <borders count="2">
    <border>
      <left/>
      <right/>
      <top/>
      <bottom/>
      <diagonal/>
    </border>
    <border>
      <left style="thin">
        <color rgb="00D5DEDA"/>
      </left>
      <right style="thin">
        <color rgb="00D5DEDA"/>
      </right>
      <top style="thin">
        <color rgb="00D5DEDA"/>
      </top>
      <bottom style="thin">
        <color rgb="00D5DEDA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/>
    </xf>
    <xf numFmtId="0" fontId="4" fillId="0" borderId="0" pivotButton="0" quotePrefix="0" xfId="0"/>
    <xf numFmtId="164" fontId="5" fillId="3" borderId="0" applyAlignment="1" pivotButton="0" quotePrefix="0" xfId="0">
      <alignment horizontal="center"/>
    </xf>
    <xf numFmtId="0" fontId="6" fillId="4" borderId="0" applyAlignment="1" pivotButton="0" quotePrefix="0" xfId="0">
      <alignment horizontal="center"/>
    </xf>
    <xf numFmtId="165" fontId="7" fillId="0" borderId="1" applyAlignment="1" pivotButton="0" quotePrefix="0" xfId="0">
      <alignment horizontal="center"/>
    </xf>
    <xf numFmtId="165" fontId="8" fillId="0" borderId="1" applyAlignment="1" pivotButton="0" quotePrefix="0" xfId="0">
      <alignment horizontal="center"/>
    </xf>
    <xf numFmtId="0" fontId="9" fillId="0" borderId="0" pivotButton="0" quotePrefix="0" xfId="0"/>
    <xf numFmtId="0" fontId="10" fillId="0" borderId="0" pivotButton="0" quotePrefix="0" xfId="0"/>
    <xf numFmtId="0" fontId="11" fillId="3" borderId="0" pivotButton="0" quotePrefix="0" xfId="0"/>
    <xf numFmtId="0" fontId="11" fillId="2" borderId="0" pivotButton="0" quotePrefix="0" xfId="0"/>
    <xf numFmtId="166" fontId="0" fillId="0" borderId="0" pivotButton="0" quotePrefix="0" xfId="0"/>
    <xf numFmtId="166" fontId="0" fillId="5" borderId="0" pivotButton="0" quotePrefix="0" xfId="0"/>
    <xf numFmtId="0" fontId="0" fillId="5" borderId="0" pivotButton="0" quotePrefix="0" xfId="0"/>
    <xf numFmtId="0" fontId="11" fillId="3" borderId="0" applyAlignment="1" pivotButton="0" quotePrefix="0" xfId="0">
      <alignment vertical="center" wrapText="1"/>
    </xf>
    <xf numFmtId="164" fontId="0" fillId="0" borderId="0" pivotButton="0" quotePrefix="0" xfId="0"/>
    <xf numFmtId="0" fontId="6" fillId="0" borderId="0" pivotButton="0" quotePrefix="0" xfId="0"/>
  </cellXfs>
  <cellStyles count="1">
    <cellStyle name="Normal" xfId="0" builtinId="0" hidden="0"/>
  </cellStyles>
  <dxfs count="3">
    <dxf>
      <font>
        <color rgb="00FFFFFF"/>
      </font>
    </dxf>
    <dxf>
      <font>
        <b val="1"/>
        <color rgb="00FFFFFF"/>
      </font>
      <fill>
        <patternFill patternType="solid">
          <bgColor rgb="00C0392B"/>
        </patternFill>
      </fill>
    </dxf>
    <dxf>
      <font>
        <b val="1"/>
        <color rgb="000B2A1F"/>
      </font>
      <fill>
        <patternFill patternType="solid">
          <bgColor rgb="00F7DC6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1:X3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4.6" customWidth="1" min="2" max="2"/>
    <col width="6.5" customWidth="1" min="3" max="3"/>
    <col width="4.6" customWidth="1" min="4" max="4"/>
    <col width="4.6" customWidth="1" min="5" max="5"/>
    <col width="4.6" customWidth="1" min="6" max="6"/>
    <col width="4.6" customWidth="1" min="7" max="7"/>
    <col width="4.6" customWidth="1" min="8" max="8"/>
    <col width="4.6" customWidth="1" min="9" max="9"/>
    <col width="4.6" customWidth="1" min="10" max="10"/>
    <col width="4.6" customWidth="1" min="11" max="11"/>
    <col width="4.6" customWidth="1" min="12" max="12"/>
    <col width="4.6" customWidth="1" min="13" max="13"/>
    <col width="4.6" customWidth="1" min="14" max="14"/>
    <col width="4.6" customWidth="1" min="15" max="15"/>
    <col width="4.6" customWidth="1" min="16" max="16"/>
    <col width="4.6" customWidth="1" min="17" max="17"/>
    <col width="4.6" customWidth="1" min="18" max="18"/>
    <col width="4.6" customWidth="1" min="19" max="19"/>
    <col width="4.6" customWidth="1" min="20" max="20"/>
    <col width="4.6" customWidth="1" min="21" max="21"/>
    <col width="4.6" customWidth="1" min="22" max="22"/>
    <col width="4.6" customWidth="1" min="23" max="23"/>
    <col width="4.6" customWidth="1" min="24" max="24"/>
    <col width="4.6" customWidth="1" min="25" max="25"/>
    <col width="4.6" customWidth="1" min="26" max="26"/>
  </cols>
  <sheetData>
    <row r="1">
      <c r="B1" s="1" t="inlineStr">
        <is>
          <t>Calendário com feriados nacionais</t>
        </is>
      </c>
    </row>
    <row r="2">
      <c r="B2" s="2" t="inlineStr">
        <is>
          <t>Ano:</t>
        </is>
      </c>
      <c r="C2" s="3" t="n">
        <v>2027</v>
      </c>
      <c r="E2" s="4" t="inlineStr">
        <is>
          <t>Troque o ano na célula C2. Feriado nacional em vermelho; ponto facultativo (Carnaval e Corpus Christi) em amarelo. Excelsmart.com.br</t>
        </is>
      </c>
    </row>
    <row r="4">
      <c r="B4" s="5">
        <f>DATE($C$2,1,1)</f>
        <v/>
      </c>
      <c r="J4" s="5">
        <f>DATE($C$2,2,1)</f>
        <v/>
      </c>
      <c r="R4" s="5">
        <f>DATE($C$2,3,1)</f>
        <v/>
      </c>
    </row>
    <row r="5">
      <c r="B5" s="6" t="inlineStr">
        <is>
          <t>D</t>
        </is>
      </c>
      <c r="C5" s="6" t="inlineStr">
        <is>
          <t>S</t>
        </is>
      </c>
      <c r="D5" s="6" t="inlineStr">
        <is>
          <t>T</t>
        </is>
      </c>
      <c r="E5" s="6" t="inlineStr">
        <is>
          <t>Q</t>
        </is>
      </c>
      <c r="F5" s="6" t="inlineStr">
        <is>
          <t>Q</t>
        </is>
      </c>
      <c r="G5" s="6" t="inlineStr">
        <is>
          <t>S</t>
        </is>
      </c>
      <c r="H5" s="6" t="inlineStr">
        <is>
          <t>S</t>
        </is>
      </c>
      <c r="J5" s="6" t="inlineStr">
        <is>
          <t>D</t>
        </is>
      </c>
      <c r="K5" s="6" t="inlineStr">
        <is>
          <t>S</t>
        </is>
      </c>
      <c r="L5" s="6" t="inlineStr">
        <is>
          <t>T</t>
        </is>
      </c>
      <c r="M5" s="6" t="inlineStr">
        <is>
          <t>Q</t>
        </is>
      </c>
      <c r="N5" s="6" t="inlineStr">
        <is>
          <t>Q</t>
        </is>
      </c>
      <c r="O5" s="6" t="inlineStr">
        <is>
          <t>S</t>
        </is>
      </c>
      <c r="P5" s="6" t="inlineStr">
        <is>
          <t>S</t>
        </is>
      </c>
      <c r="R5" s="6" t="inlineStr">
        <is>
          <t>D</t>
        </is>
      </c>
      <c r="S5" s="6" t="inlineStr">
        <is>
          <t>S</t>
        </is>
      </c>
      <c r="T5" s="6" t="inlineStr">
        <is>
          <t>T</t>
        </is>
      </c>
      <c r="U5" s="6" t="inlineStr">
        <is>
          <t>Q</t>
        </is>
      </c>
      <c r="V5" s="6" t="inlineStr">
        <is>
          <t>Q</t>
        </is>
      </c>
      <c r="W5" s="6" t="inlineStr">
        <is>
          <t>S</t>
        </is>
      </c>
      <c r="X5" s="6" t="inlineStr">
        <is>
          <t>S</t>
        </is>
      </c>
    </row>
    <row r="6">
      <c r="B6" s="7">
        <f>DATE($C$2,1,1)-WEEKDAY(DATE($C$2,1,1))+1+0</f>
        <v/>
      </c>
      <c r="C6" s="8">
        <f>DATE($C$2,1,1)-WEEKDAY(DATE($C$2,1,1))+1+1</f>
        <v/>
      </c>
      <c r="D6" s="8">
        <f>DATE($C$2,1,1)-WEEKDAY(DATE($C$2,1,1))+1+2</f>
        <v/>
      </c>
      <c r="E6" s="8">
        <f>DATE($C$2,1,1)-WEEKDAY(DATE($C$2,1,1))+1+3</f>
        <v/>
      </c>
      <c r="F6" s="8">
        <f>DATE($C$2,1,1)-WEEKDAY(DATE($C$2,1,1))+1+4</f>
        <v/>
      </c>
      <c r="G6" s="8">
        <f>DATE($C$2,1,1)-WEEKDAY(DATE($C$2,1,1))+1+5</f>
        <v/>
      </c>
      <c r="H6" s="7">
        <f>DATE($C$2,1,1)-WEEKDAY(DATE($C$2,1,1))+1+6</f>
        <v/>
      </c>
      <c r="J6" s="7">
        <f>DATE($C$2,2,1)-WEEKDAY(DATE($C$2,2,1))+1+0</f>
        <v/>
      </c>
      <c r="K6" s="8">
        <f>DATE($C$2,2,1)-WEEKDAY(DATE($C$2,2,1))+1+1</f>
        <v/>
      </c>
      <c r="L6" s="8">
        <f>DATE($C$2,2,1)-WEEKDAY(DATE($C$2,2,1))+1+2</f>
        <v/>
      </c>
      <c r="M6" s="8">
        <f>DATE($C$2,2,1)-WEEKDAY(DATE($C$2,2,1))+1+3</f>
        <v/>
      </c>
      <c r="N6" s="8">
        <f>DATE($C$2,2,1)-WEEKDAY(DATE($C$2,2,1))+1+4</f>
        <v/>
      </c>
      <c r="O6" s="8">
        <f>DATE($C$2,2,1)-WEEKDAY(DATE($C$2,2,1))+1+5</f>
        <v/>
      </c>
      <c r="P6" s="7">
        <f>DATE($C$2,2,1)-WEEKDAY(DATE($C$2,2,1))+1+6</f>
        <v/>
      </c>
      <c r="R6" s="7">
        <f>DATE($C$2,3,1)-WEEKDAY(DATE($C$2,3,1))+1+0</f>
        <v/>
      </c>
      <c r="S6" s="8">
        <f>DATE($C$2,3,1)-WEEKDAY(DATE($C$2,3,1))+1+1</f>
        <v/>
      </c>
      <c r="T6" s="8">
        <f>DATE($C$2,3,1)-WEEKDAY(DATE($C$2,3,1))+1+2</f>
        <v/>
      </c>
      <c r="U6" s="8">
        <f>DATE($C$2,3,1)-WEEKDAY(DATE($C$2,3,1))+1+3</f>
        <v/>
      </c>
      <c r="V6" s="8">
        <f>DATE($C$2,3,1)-WEEKDAY(DATE($C$2,3,1))+1+4</f>
        <v/>
      </c>
      <c r="W6" s="8">
        <f>DATE($C$2,3,1)-WEEKDAY(DATE($C$2,3,1))+1+5</f>
        <v/>
      </c>
      <c r="X6" s="7">
        <f>DATE($C$2,3,1)-WEEKDAY(DATE($C$2,3,1))+1+6</f>
        <v/>
      </c>
    </row>
    <row r="7">
      <c r="B7" s="7">
        <f>DATE($C$2,1,1)-WEEKDAY(DATE($C$2,1,1))+1+7</f>
        <v/>
      </c>
      <c r="C7" s="8">
        <f>DATE($C$2,1,1)-WEEKDAY(DATE($C$2,1,1))+1+8</f>
        <v/>
      </c>
      <c r="D7" s="8">
        <f>DATE($C$2,1,1)-WEEKDAY(DATE($C$2,1,1))+1+9</f>
        <v/>
      </c>
      <c r="E7" s="8">
        <f>DATE($C$2,1,1)-WEEKDAY(DATE($C$2,1,1))+1+10</f>
        <v/>
      </c>
      <c r="F7" s="8">
        <f>DATE($C$2,1,1)-WEEKDAY(DATE($C$2,1,1))+1+11</f>
        <v/>
      </c>
      <c r="G7" s="8">
        <f>DATE($C$2,1,1)-WEEKDAY(DATE($C$2,1,1))+1+12</f>
        <v/>
      </c>
      <c r="H7" s="7">
        <f>DATE($C$2,1,1)-WEEKDAY(DATE($C$2,1,1))+1+13</f>
        <v/>
      </c>
      <c r="J7" s="7">
        <f>DATE($C$2,2,1)-WEEKDAY(DATE($C$2,2,1))+1+7</f>
        <v/>
      </c>
      <c r="K7" s="8">
        <f>DATE($C$2,2,1)-WEEKDAY(DATE($C$2,2,1))+1+8</f>
        <v/>
      </c>
      <c r="L7" s="8">
        <f>DATE($C$2,2,1)-WEEKDAY(DATE($C$2,2,1))+1+9</f>
        <v/>
      </c>
      <c r="M7" s="8">
        <f>DATE($C$2,2,1)-WEEKDAY(DATE($C$2,2,1))+1+10</f>
        <v/>
      </c>
      <c r="N7" s="8">
        <f>DATE($C$2,2,1)-WEEKDAY(DATE($C$2,2,1))+1+11</f>
        <v/>
      </c>
      <c r="O7" s="8">
        <f>DATE($C$2,2,1)-WEEKDAY(DATE($C$2,2,1))+1+12</f>
        <v/>
      </c>
      <c r="P7" s="7">
        <f>DATE($C$2,2,1)-WEEKDAY(DATE($C$2,2,1))+1+13</f>
        <v/>
      </c>
      <c r="R7" s="7">
        <f>DATE($C$2,3,1)-WEEKDAY(DATE($C$2,3,1))+1+7</f>
        <v/>
      </c>
      <c r="S7" s="8">
        <f>DATE($C$2,3,1)-WEEKDAY(DATE($C$2,3,1))+1+8</f>
        <v/>
      </c>
      <c r="T7" s="8">
        <f>DATE($C$2,3,1)-WEEKDAY(DATE($C$2,3,1))+1+9</f>
        <v/>
      </c>
      <c r="U7" s="8">
        <f>DATE($C$2,3,1)-WEEKDAY(DATE($C$2,3,1))+1+10</f>
        <v/>
      </c>
      <c r="V7" s="8">
        <f>DATE($C$2,3,1)-WEEKDAY(DATE($C$2,3,1))+1+11</f>
        <v/>
      </c>
      <c r="W7" s="8">
        <f>DATE($C$2,3,1)-WEEKDAY(DATE($C$2,3,1))+1+12</f>
        <v/>
      </c>
      <c r="X7" s="7">
        <f>DATE($C$2,3,1)-WEEKDAY(DATE($C$2,3,1))+1+13</f>
        <v/>
      </c>
    </row>
    <row r="8">
      <c r="B8" s="7">
        <f>DATE($C$2,1,1)-WEEKDAY(DATE($C$2,1,1))+1+14</f>
        <v/>
      </c>
      <c r="C8" s="8">
        <f>DATE($C$2,1,1)-WEEKDAY(DATE($C$2,1,1))+1+15</f>
        <v/>
      </c>
      <c r="D8" s="8">
        <f>DATE($C$2,1,1)-WEEKDAY(DATE($C$2,1,1))+1+16</f>
        <v/>
      </c>
      <c r="E8" s="8">
        <f>DATE($C$2,1,1)-WEEKDAY(DATE($C$2,1,1))+1+17</f>
        <v/>
      </c>
      <c r="F8" s="8">
        <f>DATE($C$2,1,1)-WEEKDAY(DATE($C$2,1,1))+1+18</f>
        <v/>
      </c>
      <c r="G8" s="8">
        <f>DATE($C$2,1,1)-WEEKDAY(DATE($C$2,1,1))+1+19</f>
        <v/>
      </c>
      <c r="H8" s="7">
        <f>DATE($C$2,1,1)-WEEKDAY(DATE($C$2,1,1))+1+20</f>
        <v/>
      </c>
      <c r="J8" s="7">
        <f>DATE($C$2,2,1)-WEEKDAY(DATE($C$2,2,1))+1+14</f>
        <v/>
      </c>
      <c r="K8" s="8">
        <f>DATE($C$2,2,1)-WEEKDAY(DATE($C$2,2,1))+1+15</f>
        <v/>
      </c>
      <c r="L8" s="8">
        <f>DATE($C$2,2,1)-WEEKDAY(DATE($C$2,2,1))+1+16</f>
        <v/>
      </c>
      <c r="M8" s="8">
        <f>DATE($C$2,2,1)-WEEKDAY(DATE($C$2,2,1))+1+17</f>
        <v/>
      </c>
      <c r="N8" s="8">
        <f>DATE($C$2,2,1)-WEEKDAY(DATE($C$2,2,1))+1+18</f>
        <v/>
      </c>
      <c r="O8" s="8">
        <f>DATE($C$2,2,1)-WEEKDAY(DATE($C$2,2,1))+1+19</f>
        <v/>
      </c>
      <c r="P8" s="7">
        <f>DATE($C$2,2,1)-WEEKDAY(DATE($C$2,2,1))+1+20</f>
        <v/>
      </c>
      <c r="R8" s="7">
        <f>DATE($C$2,3,1)-WEEKDAY(DATE($C$2,3,1))+1+14</f>
        <v/>
      </c>
      <c r="S8" s="8">
        <f>DATE($C$2,3,1)-WEEKDAY(DATE($C$2,3,1))+1+15</f>
        <v/>
      </c>
      <c r="T8" s="8">
        <f>DATE($C$2,3,1)-WEEKDAY(DATE($C$2,3,1))+1+16</f>
        <v/>
      </c>
      <c r="U8" s="8">
        <f>DATE($C$2,3,1)-WEEKDAY(DATE($C$2,3,1))+1+17</f>
        <v/>
      </c>
      <c r="V8" s="8">
        <f>DATE($C$2,3,1)-WEEKDAY(DATE($C$2,3,1))+1+18</f>
        <v/>
      </c>
      <c r="W8" s="8">
        <f>DATE($C$2,3,1)-WEEKDAY(DATE($C$2,3,1))+1+19</f>
        <v/>
      </c>
      <c r="X8" s="7">
        <f>DATE($C$2,3,1)-WEEKDAY(DATE($C$2,3,1))+1+20</f>
        <v/>
      </c>
    </row>
    <row r="9">
      <c r="B9" s="7">
        <f>DATE($C$2,1,1)-WEEKDAY(DATE($C$2,1,1))+1+21</f>
        <v/>
      </c>
      <c r="C9" s="8">
        <f>DATE($C$2,1,1)-WEEKDAY(DATE($C$2,1,1))+1+22</f>
        <v/>
      </c>
      <c r="D9" s="8">
        <f>DATE($C$2,1,1)-WEEKDAY(DATE($C$2,1,1))+1+23</f>
        <v/>
      </c>
      <c r="E9" s="8">
        <f>DATE($C$2,1,1)-WEEKDAY(DATE($C$2,1,1))+1+24</f>
        <v/>
      </c>
      <c r="F9" s="8">
        <f>DATE($C$2,1,1)-WEEKDAY(DATE($C$2,1,1))+1+25</f>
        <v/>
      </c>
      <c r="G9" s="8">
        <f>DATE($C$2,1,1)-WEEKDAY(DATE($C$2,1,1))+1+26</f>
        <v/>
      </c>
      <c r="H9" s="7">
        <f>DATE($C$2,1,1)-WEEKDAY(DATE($C$2,1,1))+1+27</f>
        <v/>
      </c>
      <c r="J9" s="7">
        <f>DATE($C$2,2,1)-WEEKDAY(DATE($C$2,2,1))+1+21</f>
        <v/>
      </c>
      <c r="K9" s="8">
        <f>DATE($C$2,2,1)-WEEKDAY(DATE($C$2,2,1))+1+22</f>
        <v/>
      </c>
      <c r="L9" s="8">
        <f>DATE($C$2,2,1)-WEEKDAY(DATE($C$2,2,1))+1+23</f>
        <v/>
      </c>
      <c r="M9" s="8">
        <f>DATE($C$2,2,1)-WEEKDAY(DATE($C$2,2,1))+1+24</f>
        <v/>
      </c>
      <c r="N9" s="8">
        <f>DATE($C$2,2,1)-WEEKDAY(DATE($C$2,2,1))+1+25</f>
        <v/>
      </c>
      <c r="O9" s="8">
        <f>DATE($C$2,2,1)-WEEKDAY(DATE($C$2,2,1))+1+26</f>
        <v/>
      </c>
      <c r="P9" s="7">
        <f>DATE($C$2,2,1)-WEEKDAY(DATE($C$2,2,1))+1+27</f>
        <v/>
      </c>
      <c r="R9" s="7">
        <f>DATE($C$2,3,1)-WEEKDAY(DATE($C$2,3,1))+1+21</f>
        <v/>
      </c>
      <c r="S9" s="8">
        <f>DATE($C$2,3,1)-WEEKDAY(DATE($C$2,3,1))+1+22</f>
        <v/>
      </c>
      <c r="T9" s="8">
        <f>DATE($C$2,3,1)-WEEKDAY(DATE($C$2,3,1))+1+23</f>
        <v/>
      </c>
      <c r="U9" s="8">
        <f>DATE($C$2,3,1)-WEEKDAY(DATE($C$2,3,1))+1+24</f>
        <v/>
      </c>
      <c r="V9" s="8">
        <f>DATE($C$2,3,1)-WEEKDAY(DATE($C$2,3,1))+1+25</f>
        <v/>
      </c>
      <c r="W9" s="8">
        <f>DATE($C$2,3,1)-WEEKDAY(DATE($C$2,3,1))+1+26</f>
        <v/>
      </c>
      <c r="X9" s="7">
        <f>DATE($C$2,3,1)-WEEKDAY(DATE($C$2,3,1))+1+27</f>
        <v/>
      </c>
    </row>
    <row r="10">
      <c r="B10" s="7">
        <f>DATE($C$2,1,1)-WEEKDAY(DATE($C$2,1,1))+1+28</f>
        <v/>
      </c>
      <c r="C10" s="8">
        <f>DATE($C$2,1,1)-WEEKDAY(DATE($C$2,1,1))+1+29</f>
        <v/>
      </c>
      <c r="D10" s="8">
        <f>DATE($C$2,1,1)-WEEKDAY(DATE($C$2,1,1))+1+30</f>
        <v/>
      </c>
      <c r="E10" s="8">
        <f>DATE($C$2,1,1)-WEEKDAY(DATE($C$2,1,1))+1+31</f>
        <v/>
      </c>
      <c r="F10" s="8">
        <f>DATE($C$2,1,1)-WEEKDAY(DATE($C$2,1,1))+1+32</f>
        <v/>
      </c>
      <c r="G10" s="8">
        <f>DATE($C$2,1,1)-WEEKDAY(DATE($C$2,1,1))+1+33</f>
        <v/>
      </c>
      <c r="H10" s="7">
        <f>DATE($C$2,1,1)-WEEKDAY(DATE($C$2,1,1))+1+34</f>
        <v/>
      </c>
      <c r="J10" s="7">
        <f>DATE($C$2,2,1)-WEEKDAY(DATE($C$2,2,1))+1+28</f>
        <v/>
      </c>
      <c r="K10" s="8">
        <f>DATE($C$2,2,1)-WEEKDAY(DATE($C$2,2,1))+1+29</f>
        <v/>
      </c>
      <c r="L10" s="8">
        <f>DATE($C$2,2,1)-WEEKDAY(DATE($C$2,2,1))+1+30</f>
        <v/>
      </c>
      <c r="M10" s="8">
        <f>DATE($C$2,2,1)-WEEKDAY(DATE($C$2,2,1))+1+31</f>
        <v/>
      </c>
      <c r="N10" s="8">
        <f>DATE($C$2,2,1)-WEEKDAY(DATE($C$2,2,1))+1+32</f>
        <v/>
      </c>
      <c r="O10" s="8">
        <f>DATE($C$2,2,1)-WEEKDAY(DATE($C$2,2,1))+1+33</f>
        <v/>
      </c>
      <c r="P10" s="7">
        <f>DATE($C$2,2,1)-WEEKDAY(DATE($C$2,2,1))+1+34</f>
        <v/>
      </c>
      <c r="R10" s="7">
        <f>DATE($C$2,3,1)-WEEKDAY(DATE($C$2,3,1))+1+28</f>
        <v/>
      </c>
      <c r="S10" s="8">
        <f>DATE($C$2,3,1)-WEEKDAY(DATE($C$2,3,1))+1+29</f>
        <v/>
      </c>
      <c r="T10" s="8">
        <f>DATE($C$2,3,1)-WEEKDAY(DATE($C$2,3,1))+1+30</f>
        <v/>
      </c>
      <c r="U10" s="8">
        <f>DATE($C$2,3,1)-WEEKDAY(DATE($C$2,3,1))+1+31</f>
        <v/>
      </c>
      <c r="V10" s="8">
        <f>DATE($C$2,3,1)-WEEKDAY(DATE($C$2,3,1))+1+32</f>
        <v/>
      </c>
      <c r="W10" s="8">
        <f>DATE($C$2,3,1)-WEEKDAY(DATE($C$2,3,1))+1+33</f>
        <v/>
      </c>
      <c r="X10" s="7">
        <f>DATE($C$2,3,1)-WEEKDAY(DATE($C$2,3,1))+1+34</f>
        <v/>
      </c>
    </row>
    <row r="11">
      <c r="B11" s="7">
        <f>DATE($C$2,1,1)-WEEKDAY(DATE($C$2,1,1))+1+35</f>
        <v/>
      </c>
      <c r="C11" s="8">
        <f>DATE($C$2,1,1)-WEEKDAY(DATE($C$2,1,1))+1+36</f>
        <v/>
      </c>
      <c r="D11" s="8">
        <f>DATE($C$2,1,1)-WEEKDAY(DATE($C$2,1,1))+1+37</f>
        <v/>
      </c>
      <c r="E11" s="8">
        <f>DATE($C$2,1,1)-WEEKDAY(DATE($C$2,1,1))+1+38</f>
        <v/>
      </c>
      <c r="F11" s="8">
        <f>DATE($C$2,1,1)-WEEKDAY(DATE($C$2,1,1))+1+39</f>
        <v/>
      </c>
      <c r="G11" s="8">
        <f>DATE($C$2,1,1)-WEEKDAY(DATE($C$2,1,1))+1+40</f>
        <v/>
      </c>
      <c r="H11" s="7">
        <f>DATE($C$2,1,1)-WEEKDAY(DATE($C$2,1,1))+1+41</f>
        <v/>
      </c>
      <c r="J11" s="7">
        <f>DATE($C$2,2,1)-WEEKDAY(DATE($C$2,2,1))+1+35</f>
        <v/>
      </c>
      <c r="K11" s="8">
        <f>DATE($C$2,2,1)-WEEKDAY(DATE($C$2,2,1))+1+36</f>
        <v/>
      </c>
      <c r="L11" s="8">
        <f>DATE($C$2,2,1)-WEEKDAY(DATE($C$2,2,1))+1+37</f>
        <v/>
      </c>
      <c r="M11" s="8">
        <f>DATE($C$2,2,1)-WEEKDAY(DATE($C$2,2,1))+1+38</f>
        <v/>
      </c>
      <c r="N11" s="8">
        <f>DATE($C$2,2,1)-WEEKDAY(DATE($C$2,2,1))+1+39</f>
        <v/>
      </c>
      <c r="O11" s="8">
        <f>DATE($C$2,2,1)-WEEKDAY(DATE($C$2,2,1))+1+40</f>
        <v/>
      </c>
      <c r="P11" s="7">
        <f>DATE($C$2,2,1)-WEEKDAY(DATE($C$2,2,1))+1+41</f>
        <v/>
      </c>
      <c r="R11" s="7">
        <f>DATE($C$2,3,1)-WEEKDAY(DATE($C$2,3,1))+1+35</f>
        <v/>
      </c>
      <c r="S11" s="8">
        <f>DATE($C$2,3,1)-WEEKDAY(DATE($C$2,3,1))+1+36</f>
        <v/>
      </c>
      <c r="T11" s="8">
        <f>DATE($C$2,3,1)-WEEKDAY(DATE($C$2,3,1))+1+37</f>
        <v/>
      </c>
      <c r="U11" s="8">
        <f>DATE($C$2,3,1)-WEEKDAY(DATE($C$2,3,1))+1+38</f>
        <v/>
      </c>
      <c r="V11" s="8">
        <f>DATE($C$2,3,1)-WEEKDAY(DATE($C$2,3,1))+1+39</f>
        <v/>
      </c>
      <c r="W11" s="8">
        <f>DATE($C$2,3,1)-WEEKDAY(DATE($C$2,3,1))+1+40</f>
        <v/>
      </c>
      <c r="X11" s="7">
        <f>DATE($C$2,3,1)-WEEKDAY(DATE($C$2,3,1))+1+41</f>
        <v/>
      </c>
    </row>
    <row r="13">
      <c r="B13" s="5">
        <f>DATE($C$2,4,1)</f>
        <v/>
      </c>
      <c r="J13" s="5">
        <f>DATE($C$2,5,1)</f>
        <v/>
      </c>
      <c r="R13" s="5">
        <f>DATE($C$2,6,1)</f>
        <v/>
      </c>
    </row>
    <row r="14">
      <c r="B14" s="6" t="inlineStr">
        <is>
          <t>D</t>
        </is>
      </c>
      <c r="C14" s="6" t="inlineStr">
        <is>
          <t>S</t>
        </is>
      </c>
      <c r="D14" s="6" t="inlineStr">
        <is>
          <t>T</t>
        </is>
      </c>
      <c r="E14" s="6" t="inlineStr">
        <is>
          <t>Q</t>
        </is>
      </c>
      <c r="F14" s="6" t="inlineStr">
        <is>
          <t>Q</t>
        </is>
      </c>
      <c r="G14" s="6" t="inlineStr">
        <is>
          <t>S</t>
        </is>
      </c>
      <c r="H14" s="6" t="inlineStr">
        <is>
          <t>S</t>
        </is>
      </c>
      <c r="J14" s="6" t="inlineStr">
        <is>
          <t>D</t>
        </is>
      </c>
      <c r="K14" s="6" t="inlineStr">
        <is>
          <t>S</t>
        </is>
      </c>
      <c r="L14" s="6" t="inlineStr">
        <is>
          <t>T</t>
        </is>
      </c>
      <c r="M14" s="6" t="inlineStr">
        <is>
          <t>Q</t>
        </is>
      </c>
      <c r="N14" s="6" t="inlineStr">
        <is>
          <t>Q</t>
        </is>
      </c>
      <c r="O14" s="6" t="inlineStr">
        <is>
          <t>S</t>
        </is>
      </c>
      <c r="P14" s="6" t="inlineStr">
        <is>
          <t>S</t>
        </is>
      </c>
      <c r="R14" s="6" t="inlineStr">
        <is>
          <t>D</t>
        </is>
      </c>
      <c r="S14" s="6" t="inlineStr">
        <is>
          <t>S</t>
        </is>
      </c>
      <c r="T14" s="6" t="inlineStr">
        <is>
          <t>T</t>
        </is>
      </c>
      <c r="U14" s="6" t="inlineStr">
        <is>
          <t>Q</t>
        </is>
      </c>
      <c r="V14" s="6" t="inlineStr">
        <is>
          <t>Q</t>
        </is>
      </c>
      <c r="W14" s="6" t="inlineStr">
        <is>
          <t>S</t>
        </is>
      </c>
      <c r="X14" s="6" t="inlineStr">
        <is>
          <t>S</t>
        </is>
      </c>
    </row>
    <row r="15">
      <c r="B15" s="7">
        <f>DATE($C$2,4,1)-WEEKDAY(DATE($C$2,4,1))+1+0</f>
        <v/>
      </c>
      <c r="C15" s="8">
        <f>DATE($C$2,4,1)-WEEKDAY(DATE($C$2,4,1))+1+1</f>
        <v/>
      </c>
      <c r="D15" s="8">
        <f>DATE($C$2,4,1)-WEEKDAY(DATE($C$2,4,1))+1+2</f>
        <v/>
      </c>
      <c r="E15" s="8">
        <f>DATE($C$2,4,1)-WEEKDAY(DATE($C$2,4,1))+1+3</f>
        <v/>
      </c>
      <c r="F15" s="8">
        <f>DATE($C$2,4,1)-WEEKDAY(DATE($C$2,4,1))+1+4</f>
        <v/>
      </c>
      <c r="G15" s="8">
        <f>DATE($C$2,4,1)-WEEKDAY(DATE($C$2,4,1))+1+5</f>
        <v/>
      </c>
      <c r="H15" s="7">
        <f>DATE($C$2,4,1)-WEEKDAY(DATE($C$2,4,1))+1+6</f>
        <v/>
      </c>
      <c r="J15" s="7">
        <f>DATE($C$2,5,1)-WEEKDAY(DATE($C$2,5,1))+1+0</f>
        <v/>
      </c>
      <c r="K15" s="8">
        <f>DATE($C$2,5,1)-WEEKDAY(DATE($C$2,5,1))+1+1</f>
        <v/>
      </c>
      <c r="L15" s="8">
        <f>DATE($C$2,5,1)-WEEKDAY(DATE($C$2,5,1))+1+2</f>
        <v/>
      </c>
      <c r="M15" s="8">
        <f>DATE($C$2,5,1)-WEEKDAY(DATE($C$2,5,1))+1+3</f>
        <v/>
      </c>
      <c r="N15" s="8">
        <f>DATE($C$2,5,1)-WEEKDAY(DATE($C$2,5,1))+1+4</f>
        <v/>
      </c>
      <c r="O15" s="8">
        <f>DATE($C$2,5,1)-WEEKDAY(DATE($C$2,5,1))+1+5</f>
        <v/>
      </c>
      <c r="P15" s="7">
        <f>DATE($C$2,5,1)-WEEKDAY(DATE($C$2,5,1))+1+6</f>
        <v/>
      </c>
      <c r="R15" s="7">
        <f>DATE($C$2,6,1)-WEEKDAY(DATE($C$2,6,1))+1+0</f>
        <v/>
      </c>
      <c r="S15" s="8">
        <f>DATE($C$2,6,1)-WEEKDAY(DATE($C$2,6,1))+1+1</f>
        <v/>
      </c>
      <c r="T15" s="8">
        <f>DATE($C$2,6,1)-WEEKDAY(DATE($C$2,6,1))+1+2</f>
        <v/>
      </c>
      <c r="U15" s="8">
        <f>DATE($C$2,6,1)-WEEKDAY(DATE($C$2,6,1))+1+3</f>
        <v/>
      </c>
      <c r="V15" s="8">
        <f>DATE($C$2,6,1)-WEEKDAY(DATE($C$2,6,1))+1+4</f>
        <v/>
      </c>
      <c r="W15" s="8">
        <f>DATE($C$2,6,1)-WEEKDAY(DATE($C$2,6,1))+1+5</f>
        <v/>
      </c>
      <c r="X15" s="7">
        <f>DATE($C$2,6,1)-WEEKDAY(DATE($C$2,6,1))+1+6</f>
        <v/>
      </c>
    </row>
    <row r="16">
      <c r="B16" s="7">
        <f>DATE($C$2,4,1)-WEEKDAY(DATE($C$2,4,1))+1+7</f>
        <v/>
      </c>
      <c r="C16" s="8">
        <f>DATE($C$2,4,1)-WEEKDAY(DATE($C$2,4,1))+1+8</f>
        <v/>
      </c>
      <c r="D16" s="8">
        <f>DATE($C$2,4,1)-WEEKDAY(DATE($C$2,4,1))+1+9</f>
        <v/>
      </c>
      <c r="E16" s="8">
        <f>DATE($C$2,4,1)-WEEKDAY(DATE($C$2,4,1))+1+10</f>
        <v/>
      </c>
      <c r="F16" s="8">
        <f>DATE($C$2,4,1)-WEEKDAY(DATE($C$2,4,1))+1+11</f>
        <v/>
      </c>
      <c r="G16" s="8">
        <f>DATE($C$2,4,1)-WEEKDAY(DATE($C$2,4,1))+1+12</f>
        <v/>
      </c>
      <c r="H16" s="7">
        <f>DATE($C$2,4,1)-WEEKDAY(DATE($C$2,4,1))+1+13</f>
        <v/>
      </c>
      <c r="J16" s="7">
        <f>DATE($C$2,5,1)-WEEKDAY(DATE($C$2,5,1))+1+7</f>
        <v/>
      </c>
      <c r="K16" s="8">
        <f>DATE($C$2,5,1)-WEEKDAY(DATE($C$2,5,1))+1+8</f>
        <v/>
      </c>
      <c r="L16" s="8">
        <f>DATE($C$2,5,1)-WEEKDAY(DATE($C$2,5,1))+1+9</f>
        <v/>
      </c>
      <c r="M16" s="8">
        <f>DATE($C$2,5,1)-WEEKDAY(DATE($C$2,5,1))+1+10</f>
        <v/>
      </c>
      <c r="N16" s="8">
        <f>DATE($C$2,5,1)-WEEKDAY(DATE($C$2,5,1))+1+11</f>
        <v/>
      </c>
      <c r="O16" s="8">
        <f>DATE($C$2,5,1)-WEEKDAY(DATE($C$2,5,1))+1+12</f>
        <v/>
      </c>
      <c r="P16" s="7">
        <f>DATE($C$2,5,1)-WEEKDAY(DATE($C$2,5,1))+1+13</f>
        <v/>
      </c>
      <c r="R16" s="7">
        <f>DATE($C$2,6,1)-WEEKDAY(DATE($C$2,6,1))+1+7</f>
        <v/>
      </c>
      <c r="S16" s="8">
        <f>DATE($C$2,6,1)-WEEKDAY(DATE($C$2,6,1))+1+8</f>
        <v/>
      </c>
      <c r="T16" s="8">
        <f>DATE($C$2,6,1)-WEEKDAY(DATE($C$2,6,1))+1+9</f>
        <v/>
      </c>
      <c r="U16" s="8">
        <f>DATE($C$2,6,1)-WEEKDAY(DATE($C$2,6,1))+1+10</f>
        <v/>
      </c>
      <c r="V16" s="8">
        <f>DATE($C$2,6,1)-WEEKDAY(DATE($C$2,6,1))+1+11</f>
        <v/>
      </c>
      <c r="W16" s="8">
        <f>DATE($C$2,6,1)-WEEKDAY(DATE($C$2,6,1))+1+12</f>
        <v/>
      </c>
      <c r="X16" s="7">
        <f>DATE($C$2,6,1)-WEEKDAY(DATE($C$2,6,1))+1+13</f>
        <v/>
      </c>
    </row>
    <row r="17">
      <c r="B17" s="7">
        <f>DATE($C$2,4,1)-WEEKDAY(DATE($C$2,4,1))+1+14</f>
        <v/>
      </c>
      <c r="C17" s="8">
        <f>DATE($C$2,4,1)-WEEKDAY(DATE($C$2,4,1))+1+15</f>
        <v/>
      </c>
      <c r="D17" s="8">
        <f>DATE($C$2,4,1)-WEEKDAY(DATE($C$2,4,1))+1+16</f>
        <v/>
      </c>
      <c r="E17" s="8">
        <f>DATE($C$2,4,1)-WEEKDAY(DATE($C$2,4,1))+1+17</f>
        <v/>
      </c>
      <c r="F17" s="8">
        <f>DATE($C$2,4,1)-WEEKDAY(DATE($C$2,4,1))+1+18</f>
        <v/>
      </c>
      <c r="G17" s="8">
        <f>DATE($C$2,4,1)-WEEKDAY(DATE($C$2,4,1))+1+19</f>
        <v/>
      </c>
      <c r="H17" s="7">
        <f>DATE($C$2,4,1)-WEEKDAY(DATE($C$2,4,1))+1+20</f>
        <v/>
      </c>
      <c r="J17" s="7">
        <f>DATE($C$2,5,1)-WEEKDAY(DATE($C$2,5,1))+1+14</f>
        <v/>
      </c>
      <c r="K17" s="8">
        <f>DATE($C$2,5,1)-WEEKDAY(DATE($C$2,5,1))+1+15</f>
        <v/>
      </c>
      <c r="L17" s="8">
        <f>DATE($C$2,5,1)-WEEKDAY(DATE($C$2,5,1))+1+16</f>
        <v/>
      </c>
      <c r="M17" s="8">
        <f>DATE($C$2,5,1)-WEEKDAY(DATE($C$2,5,1))+1+17</f>
        <v/>
      </c>
      <c r="N17" s="8">
        <f>DATE($C$2,5,1)-WEEKDAY(DATE($C$2,5,1))+1+18</f>
        <v/>
      </c>
      <c r="O17" s="8">
        <f>DATE($C$2,5,1)-WEEKDAY(DATE($C$2,5,1))+1+19</f>
        <v/>
      </c>
      <c r="P17" s="7">
        <f>DATE($C$2,5,1)-WEEKDAY(DATE($C$2,5,1))+1+20</f>
        <v/>
      </c>
      <c r="R17" s="7">
        <f>DATE($C$2,6,1)-WEEKDAY(DATE($C$2,6,1))+1+14</f>
        <v/>
      </c>
      <c r="S17" s="8">
        <f>DATE($C$2,6,1)-WEEKDAY(DATE($C$2,6,1))+1+15</f>
        <v/>
      </c>
      <c r="T17" s="8">
        <f>DATE($C$2,6,1)-WEEKDAY(DATE($C$2,6,1))+1+16</f>
        <v/>
      </c>
      <c r="U17" s="8">
        <f>DATE($C$2,6,1)-WEEKDAY(DATE($C$2,6,1))+1+17</f>
        <v/>
      </c>
      <c r="V17" s="8">
        <f>DATE($C$2,6,1)-WEEKDAY(DATE($C$2,6,1))+1+18</f>
        <v/>
      </c>
      <c r="W17" s="8">
        <f>DATE($C$2,6,1)-WEEKDAY(DATE($C$2,6,1))+1+19</f>
        <v/>
      </c>
      <c r="X17" s="7">
        <f>DATE($C$2,6,1)-WEEKDAY(DATE($C$2,6,1))+1+20</f>
        <v/>
      </c>
    </row>
    <row r="18">
      <c r="B18" s="7">
        <f>DATE($C$2,4,1)-WEEKDAY(DATE($C$2,4,1))+1+21</f>
        <v/>
      </c>
      <c r="C18" s="8">
        <f>DATE($C$2,4,1)-WEEKDAY(DATE($C$2,4,1))+1+22</f>
        <v/>
      </c>
      <c r="D18" s="8">
        <f>DATE($C$2,4,1)-WEEKDAY(DATE($C$2,4,1))+1+23</f>
        <v/>
      </c>
      <c r="E18" s="8">
        <f>DATE($C$2,4,1)-WEEKDAY(DATE($C$2,4,1))+1+24</f>
        <v/>
      </c>
      <c r="F18" s="8">
        <f>DATE($C$2,4,1)-WEEKDAY(DATE($C$2,4,1))+1+25</f>
        <v/>
      </c>
      <c r="G18" s="8">
        <f>DATE($C$2,4,1)-WEEKDAY(DATE($C$2,4,1))+1+26</f>
        <v/>
      </c>
      <c r="H18" s="7">
        <f>DATE($C$2,4,1)-WEEKDAY(DATE($C$2,4,1))+1+27</f>
        <v/>
      </c>
      <c r="J18" s="7">
        <f>DATE($C$2,5,1)-WEEKDAY(DATE($C$2,5,1))+1+21</f>
        <v/>
      </c>
      <c r="K18" s="8">
        <f>DATE($C$2,5,1)-WEEKDAY(DATE($C$2,5,1))+1+22</f>
        <v/>
      </c>
      <c r="L18" s="8">
        <f>DATE($C$2,5,1)-WEEKDAY(DATE($C$2,5,1))+1+23</f>
        <v/>
      </c>
      <c r="M18" s="8">
        <f>DATE($C$2,5,1)-WEEKDAY(DATE($C$2,5,1))+1+24</f>
        <v/>
      </c>
      <c r="N18" s="8">
        <f>DATE($C$2,5,1)-WEEKDAY(DATE($C$2,5,1))+1+25</f>
        <v/>
      </c>
      <c r="O18" s="8">
        <f>DATE($C$2,5,1)-WEEKDAY(DATE($C$2,5,1))+1+26</f>
        <v/>
      </c>
      <c r="P18" s="7">
        <f>DATE($C$2,5,1)-WEEKDAY(DATE($C$2,5,1))+1+27</f>
        <v/>
      </c>
      <c r="R18" s="7">
        <f>DATE($C$2,6,1)-WEEKDAY(DATE($C$2,6,1))+1+21</f>
        <v/>
      </c>
      <c r="S18" s="8">
        <f>DATE($C$2,6,1)-WEEKDAY(DATE($C$2,6,1))+1+22</f>
        <v/>
      </c>
      <c r="T18" s="8">
        <f>DATE($C$2,6,1)-WEEKDAY(DATE($C$2,6,1))+1+23</f>
        <v/>
      </c>
      <c r="U18" s="8">
        <f>DATE($C$2,6,1)-WEEKDAY(DATE($C$2,6,1))+1+24</f>
        <v/>
      </c>
      <c r="V18" s="8">
        <f>DATE($C$2,6,1)-WEEKDAY(DATE($C$2,6,1))+1+25</f>
        <v/>
      </c>
      <c r="W18" s="8">
        <f>DATE($C$2,6,1)-WEEKDAY(DATE($C$2,6,1))+1+26</f>
        <v/>
      </c>
      <c r="X18" s="7">
        <f>DATE($C$2,6,1)-WEEKDAY(DATE($C$2,6,1))+1+27</f>
        <v/>
      </c>
    </row>
    <row r="19">
      <c r="B19" s="7">
        <f>DATE($C$2,4,1)-WEEKDAY(DATE($C$2,4,1))+1+28</f>
        <v/>
      </c>
      <c r="C19" s="8">
        <f>DATE($C$2,4,1)-WEEKDAY(DATE($C$2,4,1))+1+29</f>
        <v/>
      </c>
      <c r="D19" s="8">
        <f>DATE($C$2,4,1)-WEEKDAY(DATE($C$2,4,1))+1+30</f>
        <v/>
      </c>
      <c r="E19" s="8">
        <f>DATE($C$2,4,1)-WEEKDAY(DATE($C$2,4,1))+1+31</f>
        <v/>
      </c>
      <c r="F19" s="8">
        <f>DATE($C$2,4,1)-WEEKDAY(DATE($C$2,4,1))+1+32</f>
        <v/>
      </c>
      <c r="G19" s="8">
        <f>DATE($C$2,4,1)-WEEKDAY(DATE($C$2,4,1))+1+33</f>
        <v/>
      </c>
      <c r="H19" s="7">
        <f>DATE($C$2,4,1)-WEEKDAY(DATE($C$2,4,1))+1+34</f>
        <v/>
      </c>
      <c r="J19" s="7">
        <f>DATE($C$2,5,1)-WEEKDAY(DATE($C$2,5,1))+1+28</f>
        <v/>
      </c>
      <c r="K19" s="8">
        <f>DATE($C$2,5,1)-WEEKDAY(DATE($C$2,5,1))+1+29</f>
        <v/>
      </c>
      <c r="L19" s="8">
        <f>DATE($C$2,5,1)-WEEKDAY(DATE($C$2,5,1))+1+30</f>
        <v/>
      </c>
      <c r="M19" s="8">
        <f>DATE($C$2,5,1)-WEEKDAY(DATE($C$2,5,1))+1+31</f>
        <v/>
      </c>
      <c r="N19" s="8">
        <f>DATE($C$2,5,1)-WEEKDAY(DATE($C$2,5,1))+1+32</f>
        <v/>
      </c>
      <c r="O19" s="8">
        <f>DATE($C$2,5,1)-WEEKDAY(DATE($C$2,5,1))+1+33</f>
        <v/>
      </c>
      <c r="P19" s="7">
        <f>DATE($C$2,5,1)-WEEKDAY(DATE($C$2,5,1))+1+34</f>
        <v/>
      </c>
      <c r="R19" s="7">
        <f>DATE($C$2,6,1)-WEEKDAY(DATE($C$2,6,1))+1+28</f>
        <v/>
      </c>
      <c r="S19" s="8">
        <f>DATE($C$2,6,1)-WEEKDAY(DATE($C$2,6,1))+1+29</f>
        <v/>
      </c>
      <c r="T19" s="8">
        <f>DATE($C$2,6,1)-WEEKDAY(DATE($C$2,6,1))+1+30</f>
        <v/>
      </c>
      <c r="U19" s="8">
        <f>DATE($C$2,6,1)-WEEKDAY(DATE($C$2,6,1))+1+31</f>
        <v/>
      </c>
      <c r="V19" s="8">
        <f>DATE($C$2,6,1)-WEEKDAY(DATE($C$2,6,1))+1+32</f>
        <v/>
      </c>
      <c r="W19" s="8">
        <f>DATE($C$2,6,1)-WEEKDAY(DATE($C$2,6,1))+1+33</f>
        <v/>
      </c>
      <c r="X19" s="7">
        <f>DATE($C$2,6,1)-WEEKDAY(DATE($C$2,6,1))+1+34</f>
        <v/>
      </c>
    </row>
    <row r="20">
      <c r="B20" s="7">
        <f>DATE($C$2,4,1)-WEEKDAY(DATE($C$2,4,1))+1+35</f>
        <v/>
      </c>
      <c r="C20" s="8">
        <f>DATE($C$2,4,1)-WEEKDAY(DATE($C$2,4,1))+1+36</f>
        <v/>
      </c>
      <c r="D20" s="8">
        <f>DATE($C$2,4,1)-WEEKDAY(DATE($C$2,4,1))+1+37</f>
        <v/>
      </c>
      <c r="E20" s="8">
        <f>DATE($C$2,4,1)-WEEKDAY(DATE($C$2,4,1))+1+38</f>
        <v/>
      </c>
      <c r="F20" s="8">
        <f>DATE($C$2,4,1)-WEEKDAY(DATE($C$2,4,1))+1+39</f>
        <v/>
      </c>
      <c r="G20" s="8">
        <f>DATE($C$2,4,1)-WEEKDAY(DATE($C$2,4,1))+1+40</f>
        <v/>
      </c>
      <c r="H20" s="7">
        <f>DATE($C$2,4,1)-WEEKDAY(DATE($C$2,4,1))+1+41</f>
        <v/>
      </c>
      <c r="J20" s="7">
        <f>DATE($C$2,5,1)-WEEKDAY(DATE($C$2,5,1))+1+35</f>
        <v/>
      </c>
      <c r="K20" s="8">
        <f>DATE($C$2,5,1)-WEEKDAY(DATE($C$2,5,1))+1+36</f>
        <v/>
      </c>
      <c r="L20" s="8">
        <f>DATE($C$2,5,1)-WEEKDAY(DATE($C$2,5,1))+1+37</f>
        <v/>
      </c>
      <c r="M20" s="8">
        <f>DATE($C$2,5,1)-WEEKDAY(DATE($C$2,5,1))+1+38</f>
        <v/>
      </c>
      <c r="N20" s="8">
        <f>DATE($C$2,5,1)-WEEKDAY(DATE($C$2,5,1))+1+39</f>
        <v/>
      </c>
      <c r="O20" s="8">
        <f>DATE($C$2,5,1)-WEEKDAY(DATE($C$2,5,1))+1+40</f>
        <v/>
      </c>
      <c r="P20" s="7">
        <f>DATE($C$2,5,1)-WEEKDAY(DATE($C$2,5,1))+1+41</f>
        <v/>
      </c>
      <c r="R20" s="7">
        <f>DATE($C$2,6,1)-WEEKDAY(DATE($C$2,6,1))+1+35</f>
        <v/>
      </c>
      <c r="S20" s="8">
        <f>DATE($C$2,6,1)-WEEKDAY(DATE($C$2,6,1))+1+36</f>
        <v/>
      </c>
      <c r="T20" s="8">
        <f>DATE($C$2,6,1)-WEEKDAY(DATE($C$2,6,1))+1+37</f>
        <v/>
      </c>
      <c r="U20" s="8">
        <f>DATE($C$2,6,1)-WEEKDAY(DATE($C$2,6,1))+1+38</f>
        <v/>
      </c>
      <c r="V20" s="8">
        <f>DATE($C$2,6,1)-WEEKDAY(DATE($C$2,6,1))+1+39</f>
        <v/>
      </c>
      <c r="W20" s="8">
        <f>DATE($C$2,6,1)-WEEKDAY(DATE($C$2,6,1))+1+40</f>
        <v/>
      </c>
      <c r="X20" s="7">
        <f>DATE($C$2,6,1)-WEEKDAY(DATE($C$2,6,1))+1+41</f>
        <v/>
      </c>
    </row>
    <row r="22">
      <c r="B22" s="5">
        <f>DATE($C$2,7,1)</f>
        <v/>
      </c>
      <c r="J22" s="5">
        <f>DATE($C$2,8,1)</f>
        <v/>
      </c>
      <c r="R22" s="5">
        <f>DATE($C$2,9,1)</f>
        <v/>
      </c>
    </row>
    <row r="23">
      <c r="B23" s="6" t="inlineStr">
        <is>
          <t>D</t>
        </is>
      </c>
      <c r="C23" s="6" t="inlineStr">
        <is>
          <t>S</t>
        </is>
      </c>
      <c r="D23" s="6" t="inlineStr">
        <is>
          <t>T</t>
        </is>
      </c>
      <c r="E23" s="6" t="inlineStr">
        <is>
          <t>Q</t>
        </is>
      </c>
      <c r="F23" s="6" t="inlineStr">
        <is>
          <t>Q</t>
        </is>
      </c>
      <c r="G23" s="6" t="inlineStr">
        <is>
          <t>S</t>
        </is>
      </c>
      <c r="H23" s="6" t="inlineStr">
        <is>
          <t>S</t>
        </is>
      </c>
      <c r="J23" s="6" t="inlineStr">
        <is>
          <t>D</t>
        </is>
      </c>
      <c r="K23" s="6" t="inlineStr">
        <is>
          <t>S</t>
        </is>
      </c>
      <c r="L23" s="6" t="inlineStr">
        <is>
          <t>T</t>
        </is>
      </c>
      <c r="M23" s="6" t="inlineStr">
        <is>
          <t>Q</t>
        </is>
      </c>
      <c r="N23" s="6" t="inlineStr">
        <is>
          <t>Q</t>
        </is>
      </c>
      <c r="O23" s="6" t="inlineStr">
        <is>
          <t>S</t>
        </is>
      </c>
      <c r="P23" s="6" t="inlineStr">
        <is>
          <t>S</t>
        </is>
      </c>
      <c r="R23" s="6" t="inlineStr">
        <is>
          <t>D</t>
        </is>
      </c>
      <c r="S23" s="6" t="inlineStr">
        <is>
          <t>S</t>
        </is>
      </c>
      <c r="T23" s="6" t="inlineStr">
        <is>
          <t>T</t>
        </is>
      </c>
      <c r="U23" s="6" t="inlineStr">
        <is>
          <t>Q</t>
        </is>
      </c>
      <c r="V23" s="6" t="inlineStr">
        <is>
          <t>Q</t>
        </is>
      </c>
      <c r="W23" s="6" t="inlineStr">
        <is>
          <t>S</t>
        </is>
      </c>
      <c r="X23" s="6" t="inlineStr">
        <is>
          <t>S</t>
        </is>
      </c>
    </row>
    <row r="24">
      <c r="B24" s="7">
        <f>DATE($C$2,7,1)-WEEKDAY(DATE($C$2,7,1))+1+0</f>
        <v/>
      </c>
      <c r="C24" s="8">
        <f>DATE($C$2,7,1)-WEEKDAY(DATE($C$2,7,1))+1+1</f>
        <v/>
      </c>
      <c r="D24" s="8">
        <f>DATE($C$2,7,1)-WEEKDAY(DATE($C$2,7,1))+1+2</f>
        <v/>
      </c>
      <c r="E24" s="8">
        <f>DATE($C$2,7,1)-WEEKDAY(DATE($C$2,7,1))+1+3</f>
        <v/>
      </c>
      <c r="F24" s="8">
        <f>DATE($C$2,7,1)-WEEKDAY(DATE($C$2,7,1))+1+4</f>
        <v/>
      </c>
      <c r="G24" s="8">
        <f>DATE($C$2,7,1)-WEEKDAY(DATE($C$2,7,1))+1+5</f>
        <v/>
      </c>
      <c r="H24" s="7">
        <f>DATE($C$2,7,1)-WEEKDAY(DATE($C$2,7,1))+1+6</f>
        <v/>
      </c>
      <c r="J24" s="7">
        <f>DATE($C$2,8,1)-WEEKDAY(DATE($C$2,8,1))+1+0</f>
        <v/>
      </c>
      <c r="K24" s="8">
        <f>DATE($C$2,8,1)-WEEKDAY(DATE($C$2,8,1))+1+1</f>
        <v/>
      </c>
      <c r="L24" s="8">
        <f>DATE($C$2,8,1)-WEEKDAY(DATE($C$2,8,1))+1+2</f>
        <v/>
      </c>
      <c r="M24" s="8">
        <f>DATE($C$2,8,1)-WEEKDAY(DATE($C$2,8,1))+1+3</f>
        <v/>
      </c>
      <c r="N24" s="8">
        <f>DATE($C$2,8,1)-WEEKDAY(DATE($C$2,8,1))+1+4</f>
        <v/>
      </c>
      <c r="O24" s="8">
        <f>DATE($C$2,8,1)-WEEKDAY(DATE($C$2,8,1))+1+5</f>
        <v/>
      </c>
      <c r="P24" s="7">
        <f>DATE($C$2,8,1)-WEEKDAY(DATE($C$2,8,1))+1+6</f>
        <v/>
      </c>
      <c r="R24" s="7">
        <f>DATE($C$2,9,1)-WEEKDAY(DATE($C$2,9,1))+1+0</f>
        <v/>
      </c>
      <c r="S24" s="8">
        <f>DATE($C$2,9,1)-WEEKDAY(DATE($C$2,9,1))+1+1</f>
        <v/>
      </c>
      <c r="T24" s="8">
        <f>DATE($C$2,9,1)-WEEKDAY(DATE($C$2,9,1))+1+2</f>
        <v/>
      </c>
      <c r="U24" s="8">
        <f>DATE($C$2,9,1)-WEEKDAY(DATE($C$2,9,1))+1+3</f>
        <v/>
      </c>
      <c r="V24" s="8">
        <f>DATE($C$2,9,1)-WEEKDAY(DATE($C$2,9,1))+1+4</f>
        <v/>
      </c>
      <c r="W24" s="8">
        <f>DATE($C$2,9,1)-WEEKDAY(DATE($C$2,9,1))+1+5</f>
        <v/>
      </c>
      <c r="X24" s="7">
        <f>DATE($C$2,9,1)-WEEKDAY(DATE($C$2,9,1))+1+6</f>
        <v/>
      </c>
    </row>
    <row r="25">
      <c r="B25" s="7">
        <f>DATE($C$2,7,1)-WEEKDAY(DATE($C$2,7,1))+1+7</f>
        <v/>
      </c>
      <c r="C25" s="8">
        <f>DATE($C$2,7,1)-WEEKDAY(DATE($C$2,7,1))+1+8</f>
        <v/>
      </c>
      <c r="D25" s="8">
        <f>DATE($C$2,7,1)-WEEKDAY(DATE($C$2,7,1))+1+9</f>
        <v/>
      </c>
      <c r="E25" s="8">
        <f>DATE($C$2,7,1)-WEEKDAY(DATE($C$2,7,1))+1+10</f>
        <v/>
      </c>
      <c r="F25" s="8">
        <f>DATE($C$2,7,1)-WEEKDAY(DATE($C$2,7,1))+1+11</f>
        <v/>
      </c>
      <c r="G25" s="8">
        <f>DATE($C$2,7,1)-WEEKDAY(DATE($C$2,7,1))+1+12</f>
        <v/>
      </c>
      <c r="H25" s="7">
        <f>DATE($C$2,7,1)-WEEKDAY(DATE($C$2,7,1))+1+13</f>
        <v/>
      </c>
      <c r="J25" s="7">
        <f>DATE($C$2,8,1)-WEEKDAY(DATE($C$2,8,1))+1+7</f>
        <v/>
      </c>
      <c r="K25" s="8">
        <f>DATE($C$2,8,1)-WEEKDAY(DATE($C$2,8,1))+1+8</f>
        <v/>
      </c>
      <c r="L25" s="8">
        <f>DATE($C$2,8,1)-WEEKDAY(DATE($C$2,8,1))+1+9</f>
        <v/>
      </c>
      <c r="M25" s="8">
        <f>DATE($C$2,8,1)-WEEKDAY(DATE($C$2,8,1))+1+10</f>
        <v/>
      </c>
      <c r="N25" s="8">
        <f>DATE($C$2,8,1)-WEEKDAY(DATE($C$2,8,1))+1+11</f>
        <v/>
      </c>
      <c r="O25" s="8">
        <f>DATE($C$2,8,1)-WEEKDAY(DATE($C$2,8,1))+1+12</f>
        <v/>
      </c>
      <c r="P25" s="7">
        <f>DATE($C$2,8,1)-WEEKDAY(DATE($C$2,8,1))+1+13</f>
        <v/>
      </c>
      <c r="R25" s="7">
        <f>DATE($C$2,9,1)-WEEKDAY(DATE($C$2,9,1))+1+7</f>
        <v/>
      </c>
      <c r="S25" s="8">
        <f>DATE($C$2,9,1)-WEEKDAY(DATE($C$2,9,1))+1+8</f>
        <v/>
      </c>
      <c r="T25" s="8">
        <f>DATE($C$2,9,1)-WEEKDAY(DATE($C$2,9,1))+1+9</f>
        <v/>
      </c>
      <c r="U25" s="8">
        <f>DATE($C$2,9,1)-WEEKDAY(DATE($C$2,9,1))+1+10</f>
        <v/>
      </c>
      <c r="V25" s="8">
        <f>DATE($C$2,9,1)-WEEKDAY(DATE($C$2,9,1))+1+11</f>
        <v/>
      </c>
      <c r="W25" s="8">
        <f>DATE($C$2,9,1)-WEEKDAY(DATE($C$2,9,1))+1+12</f>
        <v/>
      </c>
      <c r="X25" s="7">
        <f>DATE($C$2,9,1)-WEEKDAY(DATE($C$2,9,1))+1+13</f>
        <v/>
      </c>
    </row>
    <row r="26">
      <c r="B26" s="7">
        <f>DATE($C$2,7,1)-WEEKDAY(DATE($C$2,7,1))+1+14</f>
        <v/>
      </c>
      <c r="C26" s="8">
        <f>DATE($C$2,7,1)-WEEKDAY(DATE($C$2,7,1))+1+15</f>
        <v/>
      </c>
      <c r="D26" s="8">
        <f>DATE($C$2,7,1)-WEEKDAY(DATE($C$2,7,1))+1+16</f>
        <v/>
      </c>
      <c r="E26" s="8">
        <f>DATE($C$2,7,1)-WEEKDAY(DATE($C$2,7,1))+1+17</f>
        <v/>
      </c>
      <c r="F26" s="8">
        <f>DATE($C$2,7,1)-WEEKDAY(DATE($C$2,7,1))+1+18</f>
        <v/>
      </c>
      <c r="G26" s="8">
        <f>DATE($C$2,7,1)-WEEKDAY(DATE($C$2,7,1))+1+19</f>
        <v/>
      </c>
      <c r="H26" s="7">
        <f>DATE($C$2,7,1)-WEEKDAY(DATE($C$2,7,1))+1+20</f>
        <v/>
      </c>
      <c r="J26" s="7">
        <f>DATE($C$2,8,1)-WEEKDAY(DATE($C$2,8,1))+1+14</f>
        <v/>
      </c>
      <c r="K26" s="8">
        <f>DATE($C$2,8,1)-WEEKDAY(DATE($C$2,8,1))+1+15</f>
        <v/>
      </c>
      <c r="L26" s="8">
        <f>DATE($C$2,8,1)-WEEKDAY(DATE($C$2,8,1))+1+16</f>
        <v/>
      </c>
      <c r="M26" s="8">
        <f>DATE($C$2,8,1)-WEEKDAY(DATE($C$2,8,1))+1+17</f>
        <v/>
      </c>
      <c r="N26" s="8">
        <f>DATE($C$2,8,1)-WEEKDAY(DATE($C$2,8,1))+1+18</f>
        <v/>
      </c>
      <c r="O26" s="8">
        <f>DATE($C$2,8,1)-WEEKDAY(DATE($C$2,8,1))+1+19</f>
        <v/>
      </c>
      <c r="P26" s="7">
        <f>DATE($C$2,8,1)-WEEKDAY(DATE($C$2,8,1))+1+20</f>
        <v/>
      </c>
      <c r="R26" s="7">
        <f>DATE($C$2,9,1)-WEEKDAY(DATE($C$2,9,1))+1+14</f>
        <v/>
      </c>
      <c r="S26" s="8">
        <f>DATE($C$2,9,1)-WEEKDAY(DATE($C$2,9,1))+1+15</f>
        <v/>
      </c>
      <c r="T26" s="8">
        <f>DATE($C$2,9,1)-WEEKDAY(DATE($C$2,9,1))+1+16</f>
        <v/>
      </c>
      <c r="U26" s="8">
        <f>DATE($C$2,9,1)-WEEKDAY(DATE($C$2,9,1))+1+17</f>
        <v/>
      </c>
      <c r="V26" s="8">
        <f>DATE($C$2,9,1)-WEEKDAY(DATE($C$2,9,1))+1+18</f>
        <v/>
      </c>
      <c r="W26" s="8">
        <f>DATE($C$2,9,1)-WEEKDAY(DATE($C$2,9,1))+1+19</f>
        <v/>
      </c>
      <c r="X26" s="7">
        <f>DATE($C$2,9,1)-WEEKDAY(DATE($C$2,9,1))+1+20</f>
        <v/>
      </c>
    </row>
    <row r="27">
      <c r="B27" s="7">
        <f>DATE($C$2,7,1)-WEEKDAY(DATE($C$2,7,1))+1+21</f>
        <v/>
      </c>
      <c r="C27" s="8">
        <f>DATE($C$2,7,1)-WEEKDAY(DATE($C$2,7,1))+1+22</f>
        <v/>
      </c>
      <c r="D27" s="8">
        <f>DATE($C$2,7,1)-WEEKDAY(DATE($C$2,7,1))+1+23</f>
        <v/>
      </c>
      <c r="E27" s="8">
        <f>DATE($C$2,7,1)-WEEKDAY(DATE($C$2,7,1))+1+24</f>
        <v/>
      </c>
      <c r="F27" s="8">
        <f>DATE($C$2,7,1)-WEEKDAY(DATE($C$2,7,1))+1+25</f>
        <v/>
      </c>
      <c r="G27" s="8">
        <f>DATE($C$2,7,1)-WEEKDAY(DATE($C$2,7,1))+1+26</f>
        <v/>
      </c>
      <c r="H27" s="7">
        <f>DATE($C$2,7,1)-WEEKDAY(DATE($C$2,7,1))+1+27</f>
        <v/>
      </c>
      <c r="J27" s="7">
        <f>DATE($C$2,8,1)-WEEKDAY(DATE($C$2,8,1))+1+21</f>
        <v/>
      </c>
      <c r="K27" s="8">
        <f>DATE($C$2,8,1)-WEEKDAY(DATE($C$2,8,1))+1+22</f>
        <v/>
      </c>
      <c r="L27" s="8">
        <f>DATE($C$2,8,1)-WEEKDAY(DATE($C$2,8,1))+1+23</f>
        <v/>
      </c>
      <c r="M27" s="8">
        <f>DATE($C$2,8,1)-WEEKDAY(DATE($C$2,8,1))+1+24</f>
        <v/>
      </c>
      <c r="N27" s="8">
        <f>DATE($C$2,8,1)-WEEKDAY(DATE($C$2,8,1))+1+25</f>
        <v/>
      </c>
      <c r="O27" s="8">
        <f>DATE($C$2,8,1)-WEEKDAY(DATE($C$2,8,1))+1+26</f>
        <v/>
      </c>
      <c r="P27" s="7">
        <f>DATE($C$2,8,1)-WEEKDAY(DATE($C$2,8,1))+1+27</f>
        <v/>
      </c>
      <c r="R27" s="7">
        <f>DATE($C$2,9,1)-WEEKDAY(DATE($C$2,9,1))+1+21</f>
        <v/>
      </c>
      <c r="S27" s="8">
        <f>DATE($C$2,9,1)-WEEKDAY(DATE($C$2,9,1))+1+22</f>
        <v/>
      </c>
      <c r="T27" s="8">
        <f>DATE($C$2,9,1)-WEEKDAY(DATE($C$2,9,1))+1+23</f>
        <v/>
      </c>
      <c r="U27" s="8">
        <f>DATE($C$2,9,1)-WEEKDAY(DATE($C$2,9,1))+1+24</f>
        <v/>
      </c>
      <c r="V27" s="8">
        <f>DATE($C$2,9,1)-WEEKDAY(DATE($C$2,9,1))+1+25</f>
        <v/>
      </c>
      <c r="W27" s="8">
        <f>DATE($C$2,9,1)-WEEKDAY(DATE($C$2,9,1))+1+26</f>
        <v/>
      </c>
      <c r="X27" s="7">
        <f>DATE($C$2,9,1)-WEEKDAY(DATE($C$2,9,1))+1+27</f>
        <v/>
      </c>
    </row>
    <row r="28">
      <c r="B28" s="7">
        <f>DATE($C$2,7,1)-WEEKDAY(DATE($C$2,7,1))+1+28</f>
        <v/>
      </c>
      <c r="C28" s="8">
        <f>DATE($C$2,7,1)-WEEKDAY(DATE($C$2,7,1))+1+29</f>
        <v/>
      </c>
      <c r="D28" s="8">
        <f>DATE($C$2,7,1)-WEEKDAY(DATE($C$2,7,1))+1+30</f>
        <v/>
      </c>
      <c r="E28" s="8">
        <f>DATE($C$2,7,1)-WEEKDAY(DATE($C$2,7,1))+1+31</f>
        <v/>
      </c>
      <c r="F28" s="8">
        <f>DATE($C$2,7,1)-WEEKDAY(DATE($C$2,7,1))+1+32</f>
        <v/>
      </c>
      <c r="G28" s="8">
        <f>DATE($C$2,7,1)-WEEKDAY(DATE($C$2,7,1))+1+33</f>
        <v/>
      </c>
      <c r="H28" s="7">
        <f>DATE($C$2,7,1)-WEEKDAY(DATE($C$2,7,1))+1+34</f>
        <v/>
      </c>
      <c r="J28" s="7">
        <f>DATE($C$2,8,1)-WEEKDAY(DATE($C$2,8,1))+1+28</f>
        <v/>
      </c>
      <c r="K28" s="8">
        <f>DATE($C$2,8,1)-WEEKDAY(DATE($C$2,8,1))+1+29</f>
        <v/>
      </c>
      <c r="L28" s="8">
        <f>DATE($C$2,8,1)-WEEKDAY(DATE($C$2,8,1))+1+30</f>
        <v/>
      </c>
      <c r="M28" s="8">
        <f>DATE($C$2,8,1)-WEEKDAY(DATE($C$2,8,1))+1+31</f>
        <v/>
      </c>
      <c r="N28" s="8">
        <f>DATE($C$2,8,1)-WEEKDAY(DATE($C$2,8,1))+1+32</f>
        <v/>
      </c>
      <c r="O28" s="8">
        <f>DATE($C$2,8,1)-WEEKDAY(DATE($C$2,8,1))+1+33</f>
        <v/>
      </c>
      <c r="P28" s="7">
        <f>DATE($C$2,8,1)-WEEKDAY(DATE($C$2,8,1))+1+34</f>
        <v/>
      </c>
      <c r="R28" s="7">
        <f>DATE($C$2,9,1)-WEEKDAY(DATE($C$2,9,1))+1+28</f>
        <v/>
      </c>
      <c r="S28" s="8">
        <f>DATE($C$2,9,1)-WEEKDAY(DATE($C$2,9,1))+1+29</f>
        <v/>
      </c>
      <c r="T28" s="8">
        <f>DATE($C$2,9,1)-WEEKDAY(DATE($C$2,9,1))+1+30</f>
        <v/>
      </c>
      <c r="U28" s="8">
        <f>DATE($C$2,9,1)-WEEKDAY(DATE($C$2,9,1))+1+31</f>
        <v/>
      </c>
      <c r="V28" s="8">
        <f>DATE($C$2,9,1)-WEEKDAY(DATE($C$2,9,1))+1+32</f>
        <v/>
      </c>
      <c r="W28" s="8">
        <f>DATE($C$2,9,1)-WEEKDAY(DATE($C$2,9,1))+1+33</f>
        <v/>
      </c>
      <c r="X28" s="7">
        <f>DATE($C$2,9,1)-WEEKDAY(DATE($C$2,9,1))+1+34</f>
        <v/>
      </c>
    </row>
    <row r="29">
      <c r="B29" s="7">
        <f>DATE($C$2,7,1)-WEEKDAY(DATE($C$2,7,1))+1+35</f>
        <v/>
      </c>
      <c r="C29" s="8">
        <f>DATE($C$2,7,1)-WEEKDAY(DATE($C$2,7,1))+1+36</f>
        <v/>
      </c>
      <c r="D29" s="8">
        <f>DATE($C$2,7,1)-WEEKDAY(DATE($C$2,7,1))+1+37</f>
        <v/>
      </c>
      <c r="E29" s="8">
        <f>DATE($C$2,7,1)-WEEKDAY(DATE($C$2,7,1))+1+38</f>
        <v/>
      </c>
      <c r="F29" s="8">
        <f>DATE($C$2,7,1)-WEEKDAY(DATE($C$2,7,1))+1+39</f>
        <v/>
      </c>
      <c r="G29" s="8">
        <f>DATE($C$2,7,1)-WEEKDAY(DATE($C$2,7,1))+1+40</f>
        <v/>
      </c>
      <c r="H29" s="7">
        <f>DATE($C$2,7,1)-WEEKDAY(DATE($C$2,7,1))+1+41</f>
        <v/>
      </c>
      <c r="J29" s="7">
        <f>DATE($C$2,8,1)-WEEKDAY(DATE($C$2,8,1))+1+35</f>
        <v/>
      </c>
      <c r="K29" s="8">
        <f>DATE($C$2,8,1)-WEEKDAY(DATE($C$2,8,1))+1+36</f>
        <v/>
      </c>
      <c r="L29" s="8">
        <f>DATE($C$2,8,1)-WEEKDAY(DATE($C$2,8,1))+1+37</f>
        <v/>
      </c>
      <c r="M29" s="8">
        <f>DATE($C$2,8,1)-WEEKDAY(DATE($C$2,8,1))+1+38</f>
        <v/>
      </c>
      <c r="N29" s="8">
        <f>DATE($C$2,8,1)-WEEKDAY(DATE($C$2,8,1))+1+39</f>
        <v/>
      </c>
      <c r="O29" s="8">
        <f>DATE($C$2,8,1)-WEEKDAY(DATE($C$2,8,1))+1+40</f>
        <v/>
      </c>
      <c r="P29" s="7">
        <f>DATE($C$2,8,1)-WEEKDAY(DATE($C$2,8,1))+1+41</f>
        <v/>
      </c>
      <c r="R29" s="7">
        <f>DATE($C$2,9,1)-WEEKDAY(DATE($C$2,9,1))+1+35</f>
        <v/>
      </c>
      <c r="S29" s="8">
        <f>DATE($C$2,9,1)-WEEKDAY(DATE($C$2,9,1))+1+36</f>
        <v/>
      </c>
      <c r="T29" s="8">
        <f>DATE($C$2,9,1)-WEEKDAY(DATE($C$2,9,1))+1+37</f>
        <v/>
      </c>
      <c r="U29" s="8">
        <f>DATE($C$2,9,1)-WEEKDAY(DATE($C$2,9,1))+1+38</f>
        <v/>
      </c>
      <c r="V29" s="8">
        <f>DATE($C$2,9,1)-WEEKDAY(DATE($C$2,9,1))+1+39</f>
        <v/>
      </c>
      <c r="W29" s="8">
        <f>DATE($C$2,9,1)-WEEKDAY(DATE($C$2,9,1))+1+40</f>
        <v/>
      </c>
      <c r="X29" s="7">
        <f>DATE($C$2,9,1)-WEEKDAY(DATE($C$2,9,1))+1+41</f>
        <v/>
      </c>
    </row>
    <row r="31">
      <c r="B31" s="5">
        <f>DATE($C$2,10,1)</f>
        <v/>
      </c>
      <c r="J31" s="5">
        <f>DATE($C$2,11,1)</f>
        <v/>
      </c>
      <c r="R31" s="5">
        <f>DATE($C$2,12,1)</f>
        <v/>
      </c>
    </row>
    <row r="32">
      <c r="B32" s="6" t="inlineStr">
        <is>
          <t>D</t>
        </is>
      </c>
      <c r="C32" s="6" t="inlineStr">
        <is>
          <t>S</t>
        </is>
      </c>
      <c r="D32" s="6" t="inlineStr">
        <is>
          <t>T</t>
        </is>
      </c>
      <c r="E32" s="6" t="inlineStr">
        <is>
          <t>Q</t>
        </is>
      </c>
      <c r="F32" s="6" t="inlineStr">
        <is>
          <t>Q</t>
        </is>
      </c>
      <c r="G32" s="6" t="inlineStr">
        <is>
          <t>S</t>
        </is>
      </c>
      <c r="H32" s="6" t="inlineStr">
        <is>
          <t>S</t>
        </is>
      </c>
      <c r="J32" s="6" t="inlineStr">
        <is>
          <t>D</t>
        </is>
      </c>
      <c r="K32" s="6" t="inlineStr">
        <is>
          <t>S</t>
        </is>
      </c>
      <c r="L32" s="6" t="inlineStr">
        <is>
          <t>T</t>
        </is>
      </c>
      <c r="M32" s="6" t="inlineStr">
        <is>
          <t>Q</t>
        </is>
      </c>
      <c r="N32" s="6" t="inlineStr">
        <is>
          <t>Q</t>
        </is>
      </c>
      <c r="O32" s="6" t="inlineStr">
        <is>
          <t>S</t>
        </is>
      </c>
      <c r="P32" s="6" t="inlineStr">
        <is>
          <t>S</t>
        </is>
      </c>
      <c r="R32" s="6" t="inlineStr">
        <is>
          <t>D</t>
        </is>
      </c>
      <c r="S32" s="6" t="inlineStr">
        <is>
          <t>S</t>
        </is>
      </c>
      <c r="T32" s="6" t="inlineStr">
        <is>
          <t>T</t>
        </is>
      </c>
      <c r="U32" s="6" t="inlineStr">
        <is>
          <t>Q</t>
        </is>
      </c>
      <c r="V32" s="6" t="inlineStr">
        <is>
          <t>Q</t>
        </is>
      </c>
      <c r="W32" s="6" t="inlineStr">
        <is>
          <t>S</t>
        </is>
      </c>
      <c r="X32" s="6" t="inlineStr">
        <is>
          <t>S</t>
        </is>
      </c>
    </row>
    <row r="33">
      <c r="B33" s="7">
        <f>DATE($C$2,10,1)-WEEKDAY(DATE($C$2,10,1))+1+0</f>
        <v/>
      </c>
      <c r="C33" s="8">
        <f>DATE($C$2,10,1)-WEEKDAY(DATE($C$2,10,1))+1+1</f>
        <v/>
      </c>
      <c r="D33" s="8">
        <f>DATE($C$2,10,1)-WEEKDAY(DATE($C$2,10,1))+1+2</f>
        <v/>
      </c>
      <c r="E33" s="8">
        <f>DATE($C$2,10,1)-WEEKDAY(DATE($C$2,10,1))+1+3</f>
        <v/>
      </c>
      <c r="F33" s="8">
        <f>DATE($C$2,10,1)-WEEKDAY(DATE($C$2,10,1))+1+4</f>
        <v/>
      </c>
      <c r="G33" s="8">
        <f>DATE($C$2,10,1)-WEEKDAY(DATE($C$2,10,1))+1+5</f>
        <v/>
      </c>
      <c r="H33" s="7">
        <f>DATE($C$2,10,1)-WEEKDAY(DATE($C$2,10,1))+1+6</f>
        <v/>
      </c>
      <c r="J33" s="7">
        <f>DATE($C$2,11,1)-WEEKDAY(DATE($C$2,11,1))+1+0</f>
        <v/>
      </c>
      <c r="K33" s="8">
        <f>DATE($C$2,11,1)-WEEKDAY(DATE($C$2,11,1))+1+1</f>
        <v/>
      </c>
      <c r="L33" s="8">
        <f>DATE($C$2,11,1)-WEEKDAY(DATE($C$2,11,1))+1+2</f>
        <v/>
      </c>
      <c r="M33" s="8">
        <f>DATE($C$2,11,1)-WEEKDAY(DATE($C$2,11,1))+1+3</f>
        <v/>
      </c>
      <c r="N33" s="8">
        <f>DATE($C$2,11,1)-WEEKDAY(DATE($C$2,11,1))+1+4</f>
        <v/>
      </c>
      <c r="O33" s="8">
        <f>DATE($C$2,11,1)-WEEKDAY(DATE($C$2,11,1))+1+5</f>
        <v/>
      </c>
      <c r="P33" s="7">
        <f>DATE($C$2,11,1)-WEEKDAY(DATE($C$2,11,1))+1+6</f>
        <v/>
      </c>
      <c r="R33" s="7">
        <f>DATE($C$2,12,1)-WEEKDAY(DATE($C$2,12,1))+1+0</f>
        <v/>
      </c>
      <c r="S33" s="8">
        <f>DATE($C$2,12,1)-WEEKDAY(DATE($C$2,12,1))+1+1</f>
        <v/>
      </c>
      <c r="T33" s="8">
        <f>DATE($C$2,12,1)-WEEKDAY(DATE($C$2,12,1))+1+2</f>
        <v/>
      </c>
      <c r="U33" s="8">
        <f>DATE($C$2,12,1)-WEEKDAY(DATE($C$2,12,1))+1+3</f>
        <v/>
      </c>
      <c r="V33" s="8">
        <f>DATE($C$2,12,1)-WEEKDAY(DATE($C$2,12,1))+1+4</f>
        <v/>
      </c>
      <c r="W33" s="8">
        <f>DATE($C$2,12,1)-WEEKDAY(DATE($C$2,12,1))+1+5</f>
        <v/>
      </c>
      <c r="X33" s="7">
        <f>DATE($C$2,12,1)-WEEKDAY(DATE($C$2,12,1))+1+6</f>
        <v/>
      </c>
    </row>
    <row r="34">
      <c r="B34" s="7">
        <f>DATE($C$2,10,1)-WEEKDAY(DATE($C$2,10,1))+1+7</f>
        <v/>
      </c>
      <c r="C34" s="8">
        <f>DATE($C$2,10,1)-WEEKDAY(DATE($C$2,10,1))+1+8</f>
        <v/>
      </c>
      <c r="D34" s="8">
        <f>DATE($C$2,10,1)-WEEKDAY(DATE($C$2,10,1))+1+9</f>
        <v/>
      </c>
      <c r="E34" s="8">
        <f>DATE($C$2,10,1)-WEEKDAY(DATE($C$2,10,1))+1+10</f>
        <v/>
      </c>
      <c r="F34" s="8">
        <f>DATE($C$2,10,1)-WEEKDAY(DATE($C$2,10,1))+1+11</f>
        <v/>
      </c>
      <c r="G34" s="8">
        <f>DATE($C$2,10,1)-WEEKDAY(DATE($C$2,10,1))+1+12</f>
        <v/>
      </c>
      <c r="H34" s="7">
        <f>DATE($C$2,10,1)-WEEKDAY(DATE($C$2,10,1))+1+13</f>
        <v/>
      </c>
      <c r="J34" s="7">
        <f>DATE($C$2,11,1)-WEEKDAY(DATE($C$2,11,1))+1+7</f>
        <v/>
      </c>
      <c r="K34" s="8">
        <f>DATE($C$2,11,1)-WEEKDAY(DATE($C$2,11,1))+1+8</f>
        <v/>
      </c>
      <c r="L34" s="8">
        <f>DATE($C$2,11,1)-WEEKDAY(DATE($C$2,11,1))+1+9</f>
        <v/>
      </c>
      <c r="M34" s="8">
        <f>DATE($C$2,11,1)-WEEKDAY(DATE($C$2,11,1))+1+10</f>
        <v/>
      </c>
      <c r="N34" s="8">
        <f>DATE($C$2,11,1)-WEEKDAY(DATE($C$2,11,1))+1+11</f>
        <v/>
      </c>
      <c r="O34" s="8">
        <f>DATE($C$2,11,1)-WEEKDAY(DATE($C$2,11,1))+1+12</f>
        <v/>
      </c>
      <c r="P34" s="7">
        <f>DATE($C$2,11,1)-WEEKDAY(DATE($C$2,11,1))+1+13</f>
        <v/>
      </c>
      <c r="R34" s="7">
        <f>DATE($C$2,12,1)-WEEKDAY(DATE($C$2,12,1))+1+7</f>
        <v/>
      </c>
      <c r="S34" s="8">
        <f>DATE($C$2,12,1)-WEEKDAY(DATE($C$2,12,1))+1+8</f>
        <v/>
      </c>
      <c r="T34" s="8">
        <f>DATE($C$2,12,1)-WEEKDAY(DATE($C$2,12,1))+1+9</f>
        <v/>
      </c>
      <c r="U34" s="8">
        <f>DATE($C$2,12,1)-WEEKDAY(DATE($C$2,12,1))+1+10</f>
        <v/>
      </c>
      <c r="V34" s="8">
        <f>DATE($C$2,12,1)-WEEKDAY(DATE($C$2,12,1))+1+11</f>
        <v/>
      </c>
      <c r="W34" s="8">
        <f>DATE($C$2,12,1)-WEEKDAY(DATE($C$2,12,1))+1+12</f>
        <v/>
      </c>
      <c r="X34" s="7">
        <f>DATE($C$2,12,1)-WEEKDAY(DATE($C$2,12,1))+1+13</f>
        <v/>
      </c>
    </row>
    <row r="35">
      <c r="B35" s="7">
        <f>DATE($C$2,10,1)-WEEKDAY(DATE($C$2,10,1))+1+14</f>
        <v/>
      </c>
      <c r="C35" s="8">
        <f>DATE($C$2,10,1)-WEEKDAY(DATE($C$2,10,1))+1+15</f>
        <v/>
      </c>
      <c r="D35" s="8">
        <f>DATE($C$2,10,1)-WEEKDAY(DATE($C$2,10,1))+1+16</f>
        <v/>
      </c>
      <c r="E35" s="8">
        <f>DATE($C$2,10,1)-WEEKDAY(DATE($C$2,10,1))+1+17</f>
        <v/>
      </c>
      <c r="F35" s="8">
        <f>DATE($C$2,10,1)-WEEKDAY(DATE($C$2,10,1))+1+18</f>
        <v/>
      </c>
      <c r="G35" s="8">
        <f>DATE($C$2,10,1)-WEEKDAY(DATE($C$2,10,1))+1+19</f>
        <v/>
      </c>
      <c r="H35" s="7">
        <f>DATE($C$2,10,1)-WEEKDAY(DATE($C$2,10,1))+1+20</f>
        <v/>
      </c>
      <c r="J35" s="7">
        <f>DATE($C$2,11,1)-WEEKDAY(DATE($C$2,11,1))+1+14</f>
        <v/>
      </c>
      <c r="K35" s="8">
        <f>DATE($C$2,11,1)-WEEKDAY(DATE($C$2,11,1))+1+15</f>
        <v/>
      </c>
      <c r="L35" s="8">
        <f>DATE($C$2,11,1)-WEEKDAY(DATE($C$2,11,1))+1+16</f>
        <v/>
      </c>
      <c r="M35" s="8">
        <f>DATE($C$2,11,1)-WEEKDAY(DATE($C$2,11,1))+1+17</f>
        <v/>
      </c>
      <c r="N35" s="8">
        <f>DATE($C$2,11,1)-WEEKDAY(DATE($C$2,11,1))+1+18</f>
        <v/>
      </c>
      <c r="O35" s="8">
        <f>DATE($C$2,11,1)-WEEKDAY(DATE($C$2,11,1))+1+19</f>
        <v/>
      </c>
      <c r="P35" s="7">
        <f>DATE($C$2,11,1)-WEEKDAY(DATE($C$2,11,1))+1+20</f>
        <v/>
      </c>
      <c r="R35" s="7">
        <f>DATE($C$2,12,1)-WEEKDAY(DATE($C$2,12,1))+1+14</f>
        <v/>
      </c>
      <c r="S35" s="8">
        <f>DATE($C$2,12,1)-WEEKDAY(DATE($C$2,12,1))+1+15</f>
        <v/>
      </c>
      <c r="T35" s="8">
        <f>DATE($C$2,12,1)-WEEKDAY(DATE($C$2,12,1))+1+16</f>
        <v/>
      </c>
      <c r="U35" s="8">
        <f>DATE($C$2,12,1)-WEEKDAY(DATE($C$2,12,1))+1+17</f>
        <v/>
      </c>
      <c r="V35" s="8">
        <f>DATE($C$2,12,1)-WEEKDAY(DATE($C$2,12,1))+1+18</f>
        <v/>
      </c>
      <c r="W35" s="8">
        <f>DATE($C$2,12,1)-WEEKDAY(DATE($C$2,12,1))+1+19</f>
        <v/>
      </c>
      <c r="X35" s="7">
        <f>DATE($C$2,12,1)-WEEKDAY(DATE($C$2,12,1))+1+20</f>
        <v/>
      </c>
    </row>
    <row r="36">
      <c r="B36" s="7">
        <f>DATE($C$2,10,1)-WEEKDAY(DATE($C$2,10,1))+1+21</f>
        <v/>
      </c>
      <c r="C36" s="8">
        <f>DATE($C$2,10,1)-WEEKDAY(DATE($C$2,10,1))+1+22</f>
        <v/>
      </c>
      <c r="D36" s="8">
        <f>DATE($C$2,10,1)-WEEKDAY(DATE($C$2,10,1))+1+23</f>
        <v/>
      </c>
      <c r="E36" s="8">
        <f>DATE($C$2,10,1)-WEEKDAY(DATE($C$2,10,1))+1+24</f>
        <v/>
      </c>
      <c r="F36" s="8">
        <f>DATE($C$2,10,1)-WEEKDAY(DATE($C$2,10,1))+1+25</f>
        <v/>
      </c>
      <c r="G36" s="8">
        <f>DATE($C$2,10,1)-WEEKDAY(DATE($C$2,10,1))+1+26</f>
        <v/>
      </c>
      <c r="H36" s="7">
        <f>DATE($C$2,10,1)-WEEKDAY(DATE($C$2,10,1))+1+27</f>
        <v/>
      </c>
      <c r="J36" s="7">
        <f>DATE($C$2,11,1)-WEEKDAY(DATE($C$2,11,1))+1+21</f>
        <v/>
      </c>
      <c r="K36" s="8">
        <f>DATE($C$2,11,1)-WEEKDAY(DATE($C$2,11,1))+1+22</f>
        <v/>
      </c>
      <c r="L36" s="8">
        <f>DATE($C$2,11,1)-WEEKDAY(DATE($C$2,11,1))+1+23</f>
        <v/>
      </c>
      <c r="M36" s="8">
        <f>DATE($C$2,11,1)-WEEKDAY(DATE($C$2,11,1))+1+24</f>
        <v/>
      </c>
      <c r="N36" s="8">
        <f>DATE($C$2,11,1)-WEEKDAY(DATE($C$2,11,1))+1+25</f>
        <v/>
      </c>
      <c r="O36" s="8">
        <f>DATE($C$2,11,1)-WEEKDAY(DATE($C$2,11,1))+1+26</f>
        <v/>
      </c>
      <c r="P36" s="7">
        <f>DATE($C$2,11,1)-WEEKDAY(DATE($C$2,11,1))+1+27</f>
        <v/>
      </c>
      <c r="R36" s="7">
        <f>DATE($C$2,12,1)-WEEKDAY(DATE($C$2,12,1))+1+21</f>
        <v/>
      </c>
      <c r="S36" s="8">
        <f>DATE($C$2,12,1)-WEEKDAY(DATE($C$2,12,1))+1+22</f>
        <v/>
      </c>
      <c r="T36" s="8">
        <f>DATE($C$2,12,1)-WEEKDAY(DATE($C$2,12,1))+1+23</f>
        <v/>
      </c>
      <c r="U36" s="8">
        <f>DATE($C$2,12,1)-WEEKDAY(DATE($C$2,12,1))+1+24</f>
        <v/>
      </c>
      <c r="V36" s="8">
        <f>DATE($C$2,12,1)-WEEKDAY(DATE($C$2,12,1))+1+25</f>
        <v/>
      </c>
      <c r="W36" s="8">
        <f>DATE($C$2,12,1)-WEEKDAY(DATE($C$2,12,1))+1+26</f>
        <v/>
      </c>
      <c r="X36" s="7">
        <f>DATE($C$2,12,1)-WEEKDAY(DATE($C$2,12,1))+1+27</f>
        <v/>
      </c>
    </row>
    <row r="37">
      <c r="B37" s="7">
        <f>DATE($C$2,10,1)-WEEKDAY(DATE($C$2,10,1))+1+28</f>
        <v/>
      </c>
      <c r="C37" s="8">
        <f>DATE($C$2,10,1)-WEEKDAY(DATE($C$2,10,1))+1+29</f>
        <v/>
      </c>
      <c r="D37" s="8">
        <f>DATE($C$2,10,1)-WEEKDAY(DATE($C$2,10,1))+1+30</f>
        <v/>
      </c>
      <c r="E37" s="8">
        <f>DATE($C$2,10,1)-WEEKDAY(DATE($C$2,10,1))+1+31</f>
        <v/>
      </c>
      <c r="F37" s="8">
        <f>DATE($C$2,10,1)-WEEKDAY(DATE($C$2,10,1))+1+32</f>
        <v/>
      </c>
      <c r="G37" s="8">
        <f>DATE($C$2,10,1)-WEEKDAY(DATE($C$2,10,1))+1+33</f>
        <v/>
      </c>
      <c r="H37" s="7">
        <f>DATE($C$2,10,1)-WEEKDAY(DATE($C$2,10,1))+1+34</f>
        <v/>
      </c>
      <c r="J37" s="7">
        <f>DATE($C$2,11,1)-WEEKDAY(DATE($C$2,11,1))+1+28</f>
        <v/>
      </c>
      <c r="K37" s="8">
        <f>DATE($C$2,11,1)-WEEKDAY(DATE($C$2,11,1))+1+29</f>
        <v/>
      </c>
      <c r="L37" s="8">
        <f>DATE($C$2,11,1)-WEEKDAY(DATE($C$2,11,1))+1+30</f>
        <v/>
      </c>
      <c r="M37" s="8">
        <f>DATE($C$2,11,1)-WEEKDAY(DATE($C$2,11,1))+1+31</f>
        <v/>
      </c>
      <c r="N37" s="8">
        <f>DATE($C$2,11,1)-WEEKDAY(DATE($C$2,11,1))+1+32</f>
        <v/>
      </c>
      <c r="O37" s="8">
        <f>DATE($C$2,11,1)-WEEKDAY(DATE($C$2,11,1))+1+33</f>
        <v/>
      </c>
      <c r="P37" s="7">
        <f>DATE($C$2,11,1)-WEEKDAY(DATE($C$2,11,1))+1+34</f>
        <v/>
      </c>
      <c r="R37" s="7">
        <f>DATE($C$2,12,1)-WEEKDAY(DATE($C$2,12,1))+1+28</f>
        <v/>
      </c>
      <c r="S37" s="8">
        <f>DATE($C$2,12,1)-WEEKDAY(DATE($C$2,12,1))+1+29</f>
        <v/>
      </c>
      <c r="T37" s="8">
        <f>DATE($C$2,12,1)-WEEKDAY(DATE($C$2,12,1))+1+30</f>
        <v/>
      </c>
      <c r="U37" s="8">
        <f>DATE($C$2,12,1)-WEEKDAY(DATE($C$2,12,1))+1+31</f>
        <v/>
      </c>
      <c r="V37" s="8">
        <f>DATE($C$2,12,1)-WEEKDAY(DATE($C$2,12,1))+1+32</f>
        <v/>
      </c>
      <c r="W37" s="8">
        <f>DATE($C$2,12,1)-WEEKDAY(DATE($C$2,12,1))+1+33</f>
        <v/>
      </c>
      <c r="X37" s="7">
        <f>DATE($C$2,12,1)-WEEKDAY(DATE($C$2,12,1))+1+34</f>
        <v/>
      </c>
    </row>
    <row r="38">
      <c r="B38" s="7">
        <f>DATE($C$2,10,1)-WEEKDAY(DATE($C$2,10,1))+1+35</f>
        <v/>
      </c>
      <c r="C38" s="8">
        <f>DATE($C$2,10,1)-WEEKDAY(DATE($C$2,10,1))+1+36</f>
        <v/>
      </c>
      <c r="D38" s="8">
        <f>DATE($C$2,10,1)-WEEKDAY(DATE($C$2,10,1))+1+37</f>
        <v/>
      </c>
      <c r="E38" s="8">
        <f>DATE($C$2,10,1)-WEEKDAY(DATE($C$2,10,1))+1+38</f>
        <v/>
      </c>
      <c r="F38" s="8">
        <f>DATE($C$2,10,1)-WEEKDAY(DATE($C$2,10,1))+1+39</f>
        <v/>
      </c>
      <c r="G38" s="8">
        <f>DATE($C$2,10,1)-WEEKDAY(DATE($C$2,10,1))+1+40</f>
        <v/>
      </c>
      <c r="H38" s="7">
        <f>DATE($C$2,10,1)-WEEKDAY(DATE($C$2,10,1))+1+41</f>
        <v/>
      </c>
      <c r="J38" s="7">
        <f>DATE($C$2,11,1)-WEEKDAY(DATE($C$2,11,1))+1+35</f>
        <v/>
      </c>
      <c r="K38" s="8">
        <f>DATE($C$2,11,1)-WEEKDAY(DATE($C$2,11,1))+1+36</f>
        <v/>
      </c>
      <c r="L38" s="8">
        <f>DATE($C$2,11,1)-WEEKDAY(DATE($C$2,11,1))+1+37</f>
        <v/>
      </c>
      <c r="M38" s="8">
        <f>DATE($C$2,11,1)-WEEKDAY(DATE($C$2,11,1))+1+38</f>
        <v/>
      </c>
      <c r="N38" s="8">
        <f>DATE($C$2,11,1)-WEEKDAY(DATE($C$2,11,1))+1+39</f>
        <v/>
      </c>
      <c r="O38" s="8">
        <f>DATE($C$2,11,1)-WEEKDAY(DATE($C$2,11,1))+1+40</f>
        <v/>
      </c>
      <c r="P38" s="7">
        <f>DATE($C$2,11,1)-WEEKDAY(DATE($C$2,11,1))+1+41</f>
        <v/>
      </c>
      <c r="R38" s="7">
        <f>DATE($C$2,12,1)-WEEKDAY(DATE($C$2,12,1))+1+35</f>
        <v/>
      </c>
      <c r="S38" s="8">
        <f>DATE($C$2,12,1)-WEEKDAY(DATE($C$2,12,1))+1+36</f>
        <v/>
      </c>
      <c r="T38" s="8">
        <f>DATE($C$2,12,1)-WEEKDAY(DATE($C$2,12,1))+1+37</f>
        <v/>
      </c>
      <c r="U38" s="8">
        <f>DATE($C$2,12,1)-WEEKDAY(DATE($C$2,12,1))+1+38</f>
        <v/>
      </c>
      <c r="V38" s="8">
        <f>DATE($C$2,12,1)-WEEKDAY(DATE($C$2,12,1))+1+39</f>
        <v/>
      </c>
      <c r="W38" s="8">
        <f>DATE($C$2,12,1)-WEEKDAY(DATE($C$2,12,1))+1+40</f>
        <v/>
      </c>
      <c r="X38" s="7">
        <f>DATE($C$2,12,1)-WEEKDAY(DATE($C$2,12,1))+1+41</f>
        <v/>
      </c>
    </row>
  </sheetData>
  <mergeCells count="12">
    <mergeCell ref="B22:H22"/>
    <mergeCell ref="R13:X13"/>
    <mergeCell ref="R22:X22"/>
    <mergeCell ref="J31:P31"/>
    <mergeCell ref="B13:H13"/>
    <mergeCell ref="J13:P13"/>
    <mergeCell ref="J22:P22"/>
    <mergeCell ref="R4:X4"/>
    <mergeCell ref="B4:H4"/>
    <mergeCell ref="R31:X31"/>
    <mergeCell ref="J4:P4"/>
    <mergeCell ref="B31:H31"/>
  </mergeCells>
  <conditionalFormatting sqref="B6:H11">
    <cfRule type="expression" priority="1" dxfId="0" stopIfTrue="1">
      <formula>MONTH(B6)&lt;&gt;1</formula>
    </cfRule>
    <cfRule type="expression" priority="2" dxfId="1" stopIfTrue="1">
      <formula>COUNTIF(FeriadosNacionais,B6)&gt;0</formula>
    </cfRule>
    <cfRule type="expression" priority="3" dxfId="2" stopIfTrue="1">
      <formula>COUNTIF(PontosFacultativos,B6)&gt;0</formula>
    </cfRule>
  </conditionalFormatting>
  <conditionalFormatting sqref="J6:P11">
    <cfRule type="expression" priority="4" dxfId="0" stopIfTrue="1">
      <formula>MONTH(J6)&lt;&gt;2</formula>
    </cfRule>
    <cfRule type="expression" priority="5" dxfId="1" stopIfTrue="1">
      <formula>COUNTIF(FeriadosNacionais,J6)&gt;0</formula>
    </cfRule>
    <cfRule type="expression" priority="6" dxfId="2" stopIfTrue="1">
      <formula>COUNTIF(PontosFacultativos,J6)&gt;0</formula>
    </cfRule>
  </conditionalFormatting>
  <conditionalFormatting sqref="R6:X11">
    <cfRule type="expression" priority="7" dxfId="0" stopIfTrue="1">
      <formula>MONTH(R6)&lt;&gt;3</formula>
    </cfRule>
    <cfRule type="expression" priority="8" dxfId="1" stopIfTrue="1">
      <formula>COUNTIF(FeriadosNacionais,R6)&gt;0</formula>
    </cfRule>
    <cfRule type="expression" priority="9" dxfId="2" stopIfTrue="1">
      <formula>COUNTIF(PontosFacultativos,R6)&gt;0</formula>
    </cfRule>
  </conditionalFormatting>
  <conditionalFormatting sqref="B15:H20">
    <cfRule type="expression" priority="10" dxfId="0" stopIfTrue="1">
      <formula>MONTH(B15)&lt;&gt;4</formula>
    </cfRule>
    <cfRule type="expression" priority="11" dxfId="1" stopIfTrue="1">
      <formula>COUNTIF(FeriadosNacionais,B15)&gt;0</formula>
    </cfRule>
    <cfRule type="expression" priority="12" dxfId="2" stopIfTrue="1">
      <formula>COUNTIF(PontosFacultativos,B15)&gt;0</formula>
    </cfRule>
  </conditionalFormatting>
  <conditionalFormatting sqref="J15:P20">
    <cfRule type="expression" priority="13" dxfId="0" stopIfTrue="1">
      <formula>MONTH(J15)&lt;&gt;5</formula>
    </cfRule>
    <cfRule type="expression" priority="14" dxfId="1" stopIfTrue="1">
      <formula>COUNTIF(FeriadosNacionais,J15)&gt;0</formula>
    </cfRule>
    <cfRule type="expression" priority="15" dxfId="2" stopIfTrue="1">
      <formula>COUNTIF(PontosFacultativos,J15)&gt;0</formula>
    </cfRule>
  </conditionalFormatting>
  <conditionalFormatting sqref="R15:X20">
    <cfRule type="expression" priority="16" dxfId="0" stopIfTrue="1">
      <formula>MONTH(R15)&lt;&gt;6</formula>
    </cfRule>
    <cfRule type="expression" priority="17" dxfId="1" stopIfTrue="1">
      <formula>COUNTIF(FeriadosNacionais,R15)&gt;0</formula>
    </cfRule>
    <cfRule type="expression" priority="18" dxfId="2" stopIfTrue="1">
      <formula>COUNTIF(PontosFacultativos,R15)&gt;0</formula>
    </cfRule>
  </conditionalFormatting>
  <conditionalFormatting sqref="B24:H29">
    <cfRule type="expression" priority="19" dxfId="0" stopIfTrue="1">
      <formula>MONTH(B24)&lt;&gt;7</formula>
    </cfRule>
    <cfRule type="expression" priority="20" dxfId="1" stopIfTrue="1">
      <formula>COUNTIF(FeriadosNacionais,B24)&gt;0</formula>
    </cfRule>
    <cfRule type="expression" priority="21" dxfId="2" stopIfTrue="1">
      <formula>COUNTIF(PontosFacultativos,B24)&gt;0</formula>
    </cfRule>
  </conditionalFormatting>
  <conditionalFormatting sqref="J24:P29">
    <cfRule type="expression" priority="22" dxfId="0" stopIfTrue="1">
      <formula>MONTH(J24)&lt;&gt;8</formula>
    </cfRule>
    <cfRule type="expression" priority="23" dxfId="1" stopIfTrue="1">
      <formula>COUNTIF(FeriadosNacionais,J24)&gt;0</formula>
    </cfRule>
    <cfRule type="expression" priority="24" dxfId="2" stopIfTrue="1">
      <formula>COUNTIF(PontosFacultativos,J24)&gt;0</formula>
    </cfRule>
  </conditionalFormatting>
  <conditionalFormatting sqref="R24:X29">
    <cfRule type="expression" priority="25" dxfId="0" stopIfTrue="1">
      <formula>MONTH(R24)&lt;&gt;9</formula>
    </cfRule>
    <cfRule type="expression" priority="26" dxfId="1" stopIfTrue="1">
      <formula>COUNTIF(FeriadosNacionais,R24)&gt;0</formula>
    </cfRule>
    <cfRule type="expression" priority="27" dxfId="2" stopIfTrue="1">
      <formula>COUNTIF(PontosFacultativos,R24)&gt;0</formula>
    </cfRule>
  </conditionalFormatting>
  <conditionalFormatting sqref="B33:H38">
    <cfRule type="expression" priority="28" dxfId="0" stopIfTrue="1">
      <formula>MONTH(B33)&lt;&gt;10</formula>
    </cfRule>
    <cfRule type="expression" priority="29" dxfId="1" stopIfTrue="1">
      <formula>COUNTIF(FeriadosNacionais,B33)&gt;0</formula>
    </cfRule>
    <cfRule type="expression" priority="30" dxfId="2" stopIfTrue="1">
      <formula>COUNTIF(PontosFacultativos,B33)&gt;0</formula>
    </cfRule>
  </conditionalFormatting>
  <conditionalFormatting sqref="J33:P38">
    <cfRule type="expression" priority="31" dxfId="0" stopIfTrue="1">
      <formula>MONTH(J33)&lt;&gt;11</formula>
    </cfRule>
    <cfRule type="expression" priority="32" dxfId="1" stopIfTrue="1">
      <formula>COUNTIF(FeriadosNacionais,J33)&gt;0</formula>
    </cfRule>
    <cfRule type="expression" priority="33" dxfId="2" stopIfTrue="1">
      <formula>COUNTIF(PontosFacultativos,J33)&gt;0</formula>
    </cfRule>
  </conditionalFormatting>
  <conditionalFormatting sqref="R33:X38">
    <cfRule type="expression" priority="34" dxfId="0" stopIfTrue="1">
      <formula>MONTH(R33)&lt;&gt;12</formula>
    </cfRule>
    <cfRule type="expression" priority="35" dxfId="1" stopIfTrue="1">
      <formula>COUNTIF(FeriadosNacionais,R33)&gt;0</formula>
    </cfRule>
    <cfRule type="expression" priority="36" dxfId="2" stopIfTrue="1">
      <formula>COUNTIF(PontosFacultativos,R33)&gt;0</formula>
    </cfRule>
  </conditionalFormatting>
  <pageMargins left="0.75" right="0.75" top="1" bottom="1" header="0.5" footer="0.5"/>
  <pageSetup orientation="landscape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0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6" customWidth="1" min="2" max="2"/>
    <col width="44" customWidth="1" min="3" max="3"/>
    <col width="18" customWidth="1" min="4" max="4"/>
    <col width="3" customWidth="1" min="5" max="5"/>
    <col width="13" customWidth="1" min="6" max="6"/>
  </cols>
  <sheetData>
    <row r="1">
      <c r="A1" s="9" t="inlineStr">
        <is>
          <t>Feriados nacionais e pontos facultativos</t>
        </is>
      </c>
    </row>
    <row r="2">
      <c r="A2" t="inlineStr">
        <is>
          <t>Ano:</t>
        </is>
      </c>
      <c r="B2" s="10">
        <f>Calendário!C2</f>
        <v/>
      </c>
    </row>
    <row r="4">
      <c r="A4" s="11" t="inlineStr">
        <is>
          <t>Data</t>
        </is>
      </c>
      <c r="B4" s="11" t="inlineStr">
        <is>
          <t>Dia da semana</t>
        </is>
      </c>
      <c r="C4" s="11" t="inlineStr">
        <is>
          <t>Feriado</t>
        </is>
      </c>
      <c r="D4" s="11" t="inlineStr">
        <is>
          <t>Tipo</t>
        </is>
      </c>
      <c r="F4" s="12" t="inlineStr">
        <is>
          <t>Páscoa</t>
        </is>
      </c>
    </row>
    <row r="5">
      <c r="A5" s="13">
        <f>DATE($B$2,1,1)</f>
        <v/>
      </c>
      <c r="B5">
        <f>TEXT(A5,"dddd")</f>
        <v/>
      </c>
      <c r="C5" t="inlineStr">
        <is>
          <t>Confraternização Universal</t>
        </is>
      </c>
      <c r="D5" t="inlineStr">
        <is>
          <t>Feriado nacional</t>
        </is>
      </c>
      <c r="F5" s="13">
        <f>ROUND(DATE(B2,4,1)/7+MOD(19*MOD(B2,19)-7,30)*14%,0)*7-6</f>
        <v/>
      </c>
    </row>
    <row r="6">
      <c r="A6" s="13">
        <f>$F$5-2</f>
        <v/>
      </c>
      <c r="B6">
        <f>TEXT(A6,"dddd")</f>
        <v/>
      </c>
      <c r="C6" t="inlineStr">
        <is>
          <t>Paixão de Cristo (Sexta-feira Santa)</t>
        </is>
      </c>
      <c r="D6" t="inlineStr">
        <is>
          <t>Feriado nacional</t>
        </is>
      </c>
      <c r="F6" s="4" t="inlineStr">
        <is>
          <t>Base para Carnaval, Sexta-feira Santa e Corpus Christi</t>
        </is>
      </c>
    </row>
    <row r="7">
      <c r="A7" s="13">
        <f>DATE($B$2,4,21)</f>
        <v/>
      </c>
      <c r="B7">
        <f>TEXT(A7,"dddd")</f>
        <v/>
      </c>
      <c r="C7" t="inlineStr">
        <is>
          <t>Tiradentes</t>
        </is>
      </c>
      <c r="D7" t="inlineStr">
        <is>
          <t>Feriado nacional</t>
        </is>
      </c>
    </row>
    <row r="8">
      <c r="A8" s="13">
        <f>DATE($B$2,5,1)</f>
        <v/>
      </c>
      <c r="B8">
        <f>TEXT(A8,"dddd")</f>
        <v/>
      </c>
      <c r="C8" t="inlineStr">
        <is>
          <t>Dia do Trabalho</t>
        </is>
      </c>
      <c r="D8" t="inlineStr">
        <is>
          <t>Feriado nacional</t>
        </is>
      </c>
    </row>
    <row r="9">
      <c r="A9" s="13">
        <f>DATE($B$2,9,7)</f>
        <v/>
      </c>
      <c r="B9">
        <f>TEXT(A9,"dddd")</f>
        <v/>
      </c>
      <c r="C9" t="inlineStr">
        <is>
          <t>Independência do Brasil</t>
        </is>
      </c>
      <c r="D9" t="inlineStr">
        <is>
          <t>Feriado nacional</t>
        </is>
      </c>
    </row>
    <row r="10">
      <c r="A10" s="13">
        <f>DATE($B$2,10,12)</f>
        <v/>
      </c>
      <c r="B10">
        <f>TEXT(A10,"dddd")</f>
        <v/>
      </c>
      <c r="C10" t="inlineStr">
        <is>
          <t>Nossa Senhora Aparecida</t>
        </is>
      </c>
      <c r="D10" t="inlineStr">
        <is>
          <t>Feriado nacional</t>
        </is>
      </c>
    </row>
    <row r="11">
      <c r="A11" s="13">
        <f>DATE($B$2,11,2)</f>
        <v/>
      </c>
      <c r="B11">
        <f>TEXT(A11,"dddd")</f>
        <v/>
      </c>
      <c r="C11" t="inlineStr">
        <is>
          <t>Finados</t>
        </is>
      </c>
      <c r="D11" t="inlineStr">
        <is>
          <t>Feriado nacional</t>
        </is>
      </c>
    </row>
    <row r="12">
      <c r="A12" s="13">
        <f>DATE($B$2,11,15)</f>
        <v/>
      </c>
      <c r="B12">
        <f>TEXT(A12,"dddd")</f>
        <v/>
      </c>
      <c r="C12" t="inlineStr">
        <is>
          <t>Proclamação da República</t>
        </is>
      </c>
      <c r="D12" t="inlineStr">
        <is>
          <t>Feriado nacional</t>
        </is>
      </c>
    </row>
    <row r="13">
      <c r="A13" s="13">
        <f>DATE($B$2,11,20)</f>
        <v/>
      </c>
      <c r="B13">
        <f>TEXT(A13,"dddd")</f>
        <v/>
      </c>
      <c r="C13" t="inlineStr">
        <is>
          <t>Dia Nacional de Zumbi e da Consciência Negra</t>
        </is>
      </c>
      <c r="D13" t="inlineStr">
        <is>
          <t>Feriado nacional</t>
        </is>
      </c>
    </row>
    <row r="14">
      <c r="A14" s="13">
        <f>DATE($B$2,12,25)</f>
        <v/>
      </c>
      <c r="B14">
        <f>TEXT(A14,"dddd")</f>
        <v/>
      </c>
      <c r="C14" t="inlineStr">
        <is>
          <t>Natal</t>
        </is>
      </c>
      <c r="D14" t="inlineStr">
        <is>
          <t>Feriado nacional</t>
        </is>
      </c>
    </row>
    <row r="15">
      <c r="A15" s="14">
        <f>$F$5-48</f>
        <v/>
      </c>
      <c r="B15" s="15">
        <f>TEXT(A15,"dddd")</f>
        <v/>
      </c>
      <c r="C15" s="15" t="inlineStr">
        <is>
          <t>Carnaval (segunda-feira)</t>
        </is>
      </c>
      <c r="D15" s="15" t="inlineStr">
        <is>
          <t>Ponto facultativo</t>
        </is>
      </c>
    </row>
    <row r="16">
      <c r="A16" s="14">
        <f>$F$5-47</f>
        <v/>
      </c>
      <c r="B16" s="15">
        <f>TEXT(A16,"dddd")</f>
        <v/>
      </c>
      <c r="C16" s="15" t="inlineStr">
        <is>
          <t>Carnaval (terça-feira)</t>
        </is>
      </c>
      <c r="D16" s="15" t="inlineStr">
        <is>
          <t>Ponto facultativo</t>
        </is>
      </c>
    </row>
    <row r="17">
      <c r="A17" s="14">
        <f>$F$5+60</f>
        <v/>
      </c>
      <c r="B17" s="15">
        <f>TEXT(A17,"dddd")</f>
        <v/>
      </c>
      <c r="C17" s="15" t="inlineStr">
        <is>
          <t>Corpus Christi</t>
        </is>
      </c>
      <c r="D17" s="15" t="inlineStr">
        <is>
          <t>Ponto facultativo</t>
        </is>
      </c>
    </row>
    <row r="19">
      <c r="A19" s="4" t="inlineStr">
        <is>
          <t>Inclua aqui os feriados do seu estado e da sua cidade na tabela de cima, se quiser (aumente o intervalo dos nomes FeriadosNacionais/PontosFacultativos).</t>
        </is>
      </c>
    </row>
    <row r="20">
      <c r="A20" s="4" t="inlineStr">
        <is>
          <t>Fonte: Lei 662/1949, Lei 6.802/1980, Lei 9.093/1995 e Lei 14.759/2023. Carnaval e Corpus Christi são ponto facultativo no serviço público federal.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6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3" customWidth="1" min="2" max="2"/>
    <col width="13" customWidth="1" min="3" max="3"/>
    <col width="22" customWidth="1" min="4" max="4"/>
    <col width="26" customWidth="1" min="5" max="5"/>
  </cols>
  <sheetData>
    <row r="1">
      <c r="A1" s="9" t="inlineStr">
        <is>
          <t>Dias úteis por mês</t>
        </is>
      </c>
    </row>
    <row r="3" ht="32" customHeight="1">
      <c r="A3" s="16" t="inlineStr">
        <is>
          <t>Mês</t>
        </is>
      </c>
      <c r="B3" s="16" t="inlineStr">
        <is>
          <t>Início</t>
        </is>
      </c>
      <c r="C3" s="16" t="inlineStr">
        <is>
          <t>Fim</t>
        </is>
      </c>
      <c r="D3" s="16" t="inlineStr">
        <is>
          <t>Dias úteis (sem feriados nacionais)</t>
        </is>
      </c>
      <c r="E3" s="16" t="inlineStr">
        <is>
          <t>Dias úteis (sem feriados e pontos facultativos)</t>
        </is>
      </c>
    </row>
    <row r="4">
      <c r="A4" s="17">
        <f>B4</f>
        <v/>
      </c>
      <c r="B4" s="13">
        <f>DATE(Calendário!$C$2,1,1)</f>
        <v/>
      </c>
      <c r="C4" s="13">
        <f>EOMONTH(B4,0)</f>
        <v/>
      </c>
      <c r="D4">
        <f>NETWORKDAYS(B4,C4,FeriadosNacionais)</f>
        <v/>
      </c>
      <c r="E4">
        <f>NETWORKDAYS(B4,C4,FeriadosTodos)</f>
        <v/>
      </c>
    </row>
    <row r="5">
      <c r="A5" s="17">
        <f>B5</f>
        <v/>
      </c>
      <c r="B5" s="13">
        <f>DATE(Calendário!$C$2,2,1)</f>
        <v/>
      </c>
      <c r="C5" s="13">
        <f>EOMONTH(B5,0)</f>
        <v/>
      </c>
      <c r="D5">
        <f>NETWORKDAYS(B5,C5,FeriadosNacionais)</f>
        <v/>
      </c>
      <c r="E5">
        <f>NETWORKDAYS(B5,C5,FeriadosTodos)</f>
        <v/>
      </c>
    </row>
    <row r="6">
      <c r="A6" s="17">
        <f>B6</f>
        <v/>
      </c>
      <c r="B6" s="13">
        <f>DATE(Calendário!$C$2,3,1)</f>
        <v/>
      </c>
      <c r="C6" s="13">
        <f>EOMONTH(B6,0)</f>
        <v/>
      </c>
      <c r="D6">
        <f>NETWORKDAYS(B6,C6,FeriadosNacionais)</f>
        <v/>
      </c>
      <c r="E6">
        <f>NETWORKDAYS(B6,C6,FeriadosTodos)</f>
        <v/>
      </c>
    </row>
    <row r="7">
      <c r="A7" s="17">
        <f>B7</f>
        <v/>
      </c>
      <c r="B7" s="13">
        <f>DATE(Calendário!$C$2,4,1)</f>
        <v/>
      </c>
      <c r="C7" s="13">
        <f>EOMONTH(B7,0)</f>
        <v/>
      </c>
      <c r="D7">
        <f>NETWORKDAYS(B7,C7,FeriadosNacionais)</f>
        <v/>
      </c>
      <c r="E7">
        <f>NETWORKDAYS(B7,C7,FeriadosTodos)</f>
        <v/>
      </c>
    </row>
    <row r="8">
      <c r="A8" s="17">
        <f>B8</f>
        <v/>
      </c>
      <c r="B8" s="13">
        <f>DATE(Calendário!$C$2,5,1)</f>
        <v/>
      </c>
      <c r="C8" s="13">
        <f>EOMONTH(B8,0)</f>
        <v/>
      </c>
      <c r="D8">
        <f>NETWORKDAYS(B8,C8,FeriadosNacionais)</f>
        <v/>
      </c>
      <c r="E8">
        <f>NETWORKDAYS(B8,C8,FeriadosTodos)</f>
        <v/>
      </c>
    </row>
    <row r="9">
      <c r="A9" s="17">
        <f>B9</f>
        <v/>
      </c>
      <c r="B9" s="13">
        <f>DATE(Calendário!$C$2,6,1)</f>
        <v/>
      </c>
      <c r="C9" s="13">
        <f>EOMONTH(B9,0)</f>
        <v/>
      </c>
      <c r="D9">
        <f>NETWORKDAYS(B9,C9,FeriadosNacionais)</f>
        <v/>
      </c>
      <c r="E9">
        <f>NETWORKDAYS(B9,C9,FeriadosTodos)</f>
        <v/>
      </c>
    </row>
    <row r="10">
      <c r="A10" s="17">
        <f>B10</f>
        <v/>
      </c>
      <c r="B10" s="13">
        <f>DATE(Calendário!$C$2,7,1)</f>
        <v/>
      </c>
      <c r="C10" s="13">
        <f>EOMONTH(B10,0)</f>
        <v/>
      </c>
      <c r="D10">
        <f>NETWORKDAYS(B10,C10,FeriadosNacionais)</f>
        <v/>
      </c>
      <c r="E10">
        <f>NETWORKDAYS(B10,C10,FeriadosTodos)</f>
        <v/>
      </c>
    </row>
    <row r="11">
      <c r="A11" s="17">
        <f>B11</f>
        <v/>
      </c>
      <c r="B11" s="13">
        <f>DATE(Calendário!$C$2,8,1)</f>
        <v/>
      </c>
      <c r="C11" s="13">
        <f>EOMONTH(B11,0)</f>
        <v/>
      </c>
      <c r="D11">
        <f>NETWORKDAYS(B11,C11,FeriadosNacionais)</f>
        <v/>
      </c>
      <c r="E11">
        <f>NETWORKDAYS(B11,C11,FeriadosTodos)</f>
        <v/>
      </c>
    </row>
    <row r="12">
      <c r="A12" s="17">
        <f>B12</f>
        <v/>
      </c>
      <c r="B12" s="13">
        <f>DATE(Calendário!$C$2,9,1)</f>
        <v/>
      </c>
      <c r="C12" s="13">
        <f>EOMONTH(B12,0)</f>
        <v/>
      </c>
      <c r="D12">
        <f>NETWORKDAYS(B12,C12,FeriadosNacionais)</f>
        <v/>
      </c>
      <c r="E12">
        <f>NETWORKDAYS(B12,C12,FeriadosTodos)</f>
        <v/>
      </c>
    </row>
    <row r="13">
      <c r="A13" s="17">
        <f>B13</f>
        <v/>
      </c>
      <c r="B13" s="13">
        <f>DATE(Calendário!$C$2,10,1)</f>
        <v/>
      </c>
      <c r="C13" s="13">
        <f>EOMONTH(B13,0)</f>
        <v/>
      </c>
      <c r="D13">
        <f>NETWORKDAYS(B13,C13,FeriadosNacionais)</f>
        <v/>
      </c>
      <c r="E13">
        <f>NETWORKDAYS(B13,C13,FeriadosTodos)</f>
        <v/>
      </c>
    </row>
    <row r="14">
      <c r="A14" s="17">
        <f>B14</f>
        <v/>
      </c>
      <c r="B14" s="13">
        <f>DATE(Calendário!$C$2,11,1)</f>
        <v/>
      </c>
      <c r="C14" s="13">
        <f>EOMONTH(B14,0)</f>
        <v/>
      </c>
      <c r="D14">
        <f>NETWORKDAYS(B14,C14,FeriadosNacionais)</f>
        <v/>
      </c>
      <c r="E14">
        <f>NETWORKDAYS(B14,C14,FeriadosTodos)</f>
        <v/>
      </c>
    </row>
    <row r="15">
      <c r="A15" s="17">
        <f>B15</f>
        <v/>
      </c>
      <c r="B15" s="13">
        <f>DATE(Calendário!$C$2,12,1)</f>
        <v/>
      </c>
      <c r="C15" s="13">
        <f>EOMONTH(B15,0)</f>
        <v/>
      </c>
      <c r="D15">
        <f>NETWORKDAYS(B15,C15,FeriadosNacionais)</f>
        <v/>
      </c>
      <c r="E15">
        <f>NETWORKDAYS(B15,C15,FeriadosTodos)</f>
        <v/>
      </c>
    </row>
    <row r="16">
      <c r="A16" s="10" t="inlineStr">
        <is>
          <t>Total</t>
        </is>
      </c>
      <c r="D16" s="18">
        <f>SUM(D4:D15)</f>
        <v/>
      </c>
      <c r="E16" s="18">
        <f>SUM(E4:E15)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9"/>
  <sheetViews>
    <sheetView showGridLines="0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9" t="inlineStr">
        <is>
          <t>Como usar esta planilha</t>
        </is>
      </c>
    </row>
    <row r="2">
      <c r="A2" t="inlineStr"/>
    </row>
    <row r="3">
      <c r="A3" t="inlineStr">
        <is>
          <t>1. Na aba Calendário, digite o ano na célula C2. Os 12 meses, os feriados e os dias úteis se atualizam sozinhos.</t>
        </is>
      </c>
    </row>
    <row r="4">
      <c r="A4" t="inlineStr">
        <is>
          <t>2. Vermelho = feriado nacional. Amarelo = ponto facultativo (Carnaval e Corpus Christi).</t>
        </is>
      </c>
    </row>
    <row r="5">
      <c r="A5" t="inlineStr">
        <is>
          <t>3. Na aba Feriados você pode trocar ou acrescentar feriados do seu estado e da sua cidade.</t>
        </is>
      </c>
    </row>
    <row r="6">
      <c r="A6" t="inlineStr">
        <is>
          <t>4. A aba Dias úteis conta segunda a sexta, descontando os feriados (função DIATRABALHOTOTAL).</t>
        </is>
      </c>
    </row>
    <row r="7">
      <c r="A7" t="inlineStr">
        <is>
          <t>5. Antes de usar outro ano, confira se a lei de feriados mudou.</t>
        </is>
      </c>
    </row>
    <row r="8">
      <c r="A8" t="inlineStr"/>
    </row>
    <row r="9">
      <c r="A9" t="inlineStr">
        <is>
          <t>Feito por Excel Smart - excelsmart.com.br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2026-11-06T17:12:40Z</dcterms:created>
  <dcterms:modified xmlns:dcterms="http://purl.org/dc/terms/" xmlns:xsi="http://www.w3.org/2001/XMLSchema-instance" xsi:type="dcterms:W3CDTF">2026-11-06T17:12:40Z</dcterms:modified>
</cp:coreProperties>
</file>